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755" tabRatio="921" firstSheet="4" activeTab="4"/>
  </bookViews>
  <sheets>
    <sheet name="附表 2-1" sheetId="1" state="hidden" r:id="rId1"/>
    <sheet name="附表 2-2" sheetId="2" state="hidden" r:id="rId2"/>
    <sheet name="Sheet1" sheetId="3" state="hidden" r:id="rId3"/>
    <sheet name="附表 2-3（2021年）-万元" sheetId="4" state="hidden" r:id="rId4"/>
    <sheet name="附表1（2021-2022年）" sheetId="5" r:id="rId5"/>
    <sheet name="附表 2-3（2022年）-万元" sheetId="6" state="hidden" r:id="rId6"/>
    <sheet name="附表 2-3（2022年）-崖州区" sheetId="7" state="hidden" r:id="rId7"/>
    <sheet name="2022年海棠区" sheetId="8" state="hidden" r:id="rId8"/>
    <sheet name="Sheet2" sheetId="9" state="hidden" r:id="rId9"/>
    <sheet name="附表 2-3（2021年） (2)" sheetId="10" state="hidden" r:id="rId10"/>
    <sheet name="附表 3-2" sheetId="11" state="hidden" r:id="rId11"/>
    <sheet name="附表 2-3（2022年）-育才区" sheetId="12" state="hidden" r:id="rId12"/>
    <sheet name="2022年资金安排调整过程-天涯区" sheetId="13" state="hidden" r:id="rId13"/>
    <sheet name="附表 2-3（2021年）-崖州区)" sheetId="14" state="hidden" r:id="rId14"/>
    <sheet name="附表 2-3（2021年）-育才区" sheetId="15" state="hidden" r:id="rId15"/>
  </sheets>
  <definedNames>
    <definedName name="_xlnm._FilterDatabase" localSheetId="3" hidden="1">'附表 2-3（2021年）-万元'!$A$9:$W$99</definedName>
    <definedName name="_xlnm._FilterDatabase" localSheetId="5" hidden="1">'附表 2-3（2022年）-万元'!$A$9:$W$108</definedName>
    <definedName name="_xlnm._FilterDatabase" localSheetId="12" hidden="1">'2022年资金安排调整过程-天涯区'!$A$9:$K$45</definedName>
    <definedName name="_xlnm._FilterDatabase" localSheetId="14" hidden="1">'附表 2-3（2021年）-育才区'!$A$8:$K$29</definedName>
    <definedName name="_xlnm._FilterDatabase" localSheetId="4" hidden="1">'附表1（2021-2022年）'!$A$3:$AB$20</definedName>
    <definedName name="到户类资产" localSheetId="10">'附表 3-2'!$C$6:$C$11</definedName>
    <definedName name="到户类资产">'附表1（2021-2022年）'!#REF!</definedName>
    <definedName name="公益性资产" localSheetId="10">'附表 3-2'!$A$6:$A$14</definedName>
    <definedName name="公益性资产">'附表1（2021-2022年）'!$A$12:$A$20</definedName>
    <definedName name="经营性资产" localSheetId="10">'附表 3-2'!$B$6:$B$13</definedName>
    <definedName name="经营性资产">'附表1（2021-2022年）'!#REF!</definedName>
    <definedName name="项目大类" localSheetId="10">'附表 3-2'!$A$5:$C$5</definedName>
    <definedName name="项目大类">'附表1（2021-2022年）'!#REF!</definedName>
    <definedName name="_xlnm.Print_Titles" localSheetId="4">'附表1（2021-2022年）'!$2:$3</definedName>
    <definedName name="_xlnm.Print_Area" localSheetId="4">'附表1（2021-2022年）'!$A$1:$AB$20</definedName>
  </definedNames>
  <calcPr calcId="144525" concurrentCalc="0"/>
</workbook>
</file>

<file path=xl/comments1.xml><?xml version="1.0" encoding="utf-8"?>
<comments xmlns="http://schemas.openxmlformats.org/spreadsheetml/2006/main">
  <authors>
    <author>ASUS</author>
  </authors>
  <commentList>
    <comment ref="J10" authorId="0">
      <text>
        <r>
          <rPr>
            <sz val="9"/>
            <color indexed="81"/>
            <rFont val="宋体"/>
            <charset val="134"/>
          </rPr>
          <t xml:space="preserve">ASUS:
青田村委会村道提升改造工程调整至本项目</t>
        </r>
      </text>
    </comment>
    <comment ref="G11" authorId="0">
      <text>
        <r>
          <rPr>
            <sz val="9"/>
            <color indexed="81"/>
            <rFont val="宋体"/>
            <charset val="134"/>
          </rPr>
          <t xml:space="preserve">ASUS:
缺少2021年区级省级和市级资金分配文件</t>
        </r>
      </text>
    </comment>
    <comment ref="G12" authorId="0">
      <text>
        <r>
          <rPr>
            <sz val="9"/>
            <color indexed="81"/>
            <rFont val="宋体"/>
            <charset val="134"/>
          </rPr>
          <t xml:space="preserve">ASUS:
缺少2021年区级省级第二批200万资金分配文件</t>
        </r>
      </text>
    </comment>
    <comment ref="J16" authorId="0">
      <text>
        <r>
          <rPr>
            <sz val="9"/>
            <color indexed="81"/>
            <rFont val="宋体"/>
            <charset val="134"/>
          </rPr>
          <t xml:space="preserve">ASUS:
原就业项目调整12万元至本项目</t>
        </r>
      </text>
    </comment>
    <comment ref="F17" authorId="0">
      <text>
        <r>
          <rPr>
            <sz val="9"/>
            <color indexed="81"/>
            <rFont val="宋体"/>
            <charset val="134"/>
          </rPr>
          <t xml:space="preserve">ASUS:
三亚市天涯区贫困村立新等三个村委会涵洞改建工程、天涯区肉鸽基地附属道路工程项目资金全部调整至本项目</t>
        </r>
      </text>
    </comment>
    <comment ref="I20" authorId="0">
      <text>
        <r>
          <rPr>
            <sz val="9"/>
            <color indexed="81"/>
            <rFont val="宋体"/>
            <charset val="134"/>
          </rPr>
          <t xml:space="preserve">ASUS:
崖州区绿色生态循环肉牛繁育示范基地建设项目(二期 )调出全部 425 万元、抱古村委会睡莲加工厂房建设工程项目调出 25 万元、崖州区赤草村和北岭村道路硬板化工程项目调出 25 万元至三亚南鹿实业股份有限公司产业项目</t>
        </r>
      </text>
    </comment>
    <comment ref="B24" authorId="0">
      <text>
        <r>
          <rPr>
            <sz val="9"/>
            <color indexed="81"/>
            <rFont val="宋体"/>
            <charset val="134"/>
          </rPr>
          <t xml:space="preserve">ASUS:少数民族发展任务
</t>
        </r>
      </text>
    </comment>
    <comment ref="B88" authorId="0">
      <text>
        <r>
          <rPr>
            <sz val="9"/>
            <color indexed="81"/>
            <rFont val="宋体"/>
            <charset val="134"/>
          </rPr>
          <t xml:space="preserve">ASUS:
少数民族发展任务
</t>
        </r>
      </text>
    </comment>
  </commentList>
</comments>
</file>

<file path=xl/comments2.xml><?xml version="1.0" encoding="utf-8"?>
<comments xmlns="http://schemas.openxmlformats.org/spreadsheetml/2006/main">
  <authors>
    <author>吴挺玮</author>
  </authors>
  <commentList>
    <comment ref="J5" authorId="0">
      <text>
        <r>
          <rPr>
            <sz val="9"/>
            <color indexed="81"/>
            <rFont val="宋体"/>
            <charset val="134"/>
          </rPr>
          <t xml:space="preserve">吴挺玮:
我打印的资产移交表资产名称填错了，您这边改下重新打印替换下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F10" authorId="0">
      <text>
        <r>
          <rPr>
            <sz val="9"/>
            <color indexed="81"/>
            <rFont val="宋体"/>
            <charset val="134"/>
          </rPr>
          <t xml:space="preserve">ASUS:
缺少资金文</t>
        </r>
      </text>
    </comment>
  </commentList>
</comments>
</file>

<file path=xl/comments4.xml><?xml version="1.0" encoding="utf-8"?>
<comments xmlns="http://schemas.openxmlformats.org/spreadsheetml/2006/main">
  <authors>
    <author>ASUS</author>
  </authors>
  <commentList>
    <comment ref="U16" authorId="0">
      <text>
        <r>
          <rPr>
            <sz val="9"/>
            <color indexed="81"/>
            <rFont val="宋体"/>
            <charset val="134"/>
          </rPr>
          <t xml:space="preserve">ASUS:
葡萄项目调整过来</t>
        </r>
      </text>
    </comment>
    <comment ref="U17" authorId="0">
      <text>
        <r>
          <rPr>
            <sz val="9"/>
            <color indexed="81"/>
            <rFont val="宋体"/>
            <charset val="134"/>
          </rPr>
          <t xml:space="preserve">ASUS:
葡萄项目调整过来</t>
        </r>
      </text>
    </comment>
    <comment ref="Z32" authorId="0">
      <text>
        <r>
          <rPr>
            <sz val="9"/>
            <color indexed="81"/>
            <rFont val="宋体"/>
            <charset val="134"/>
          </rPr>
          <t xml:space="preserve">ASUS:
妙林田洋六乡主干渠市级4.72万元</t>
        </r>
      </text>
    </comment>
    <comment ref="T40" authorId="0">
      <text>
        <r>
          <rPr>
            <sz val="9"/>
            <color indexed="81"/>
            <rFont val="宋体"/>
            <charset val="134"/>
          </rPr>
          <t xml:space="preserve">ASUS:
扎文小组道路养护省级级24万+干沟一至三吉省级级93万+南岛中学市级63万</t>
        </r>
      </text>
    </comment>
    <comment ref="T41" authorId="0">
      <text>
        <r>
          <rPr>
            <sz val="9"/>
            <color indexed="81"/>
            <rFont val="宋体"/>
            <charset val="134"/>
          </rPr>
          <t xml:space="preserve">ASUS:
南岛中学市级55万+六罗小组市级17万</t>
        </r>
      </text>
    </comment>
    <comment ref="U41" authorId="0">
      <text>
        <r>
          <rPr>
            <sz val="9"/>
            <color indexed="81"/>
            <rFont val="宋体"/>
            <charset val="134"/>
          </rPr>
          <t xml:space="preserve">ASUS:
南岛中学市级55万+六罗小组市级17万</t>
        </r>
      </text>
    </comment>
    <comment ref="T42" authorId="0">
      <text>
        <r>
          <rPr>
            <sz val="9"/>
            <color indexed="81"/>
            <rFont val="宋体"/>
            <charset val="134"/>
          </rPr>
          <t xml:space="preserve">ASUS:
六罗小组道路省级35万+市级14万+扎文钢架市级40万</t>
        </r>
      </text>
    </comment>
    <comment ref="U42" authorId="0">
      <text>
        <r>
          <rPr>
            <sz val="9"/>
            <color indexed="81"/>
            <rFont val="宋体"/>
            <charset val="134"/>
          </rPr>
          <t xml:space="preserve">ASUS:
六罗小组道路省级35万+市级14万+扎文钢架市级40万</t>
        </r>
      </text>
    </comment>
    <comment ref="Z42" authorId="0">
      <text>
        <r>
          <rPr>
            <sz val="9"/>
            <color indexed="81"/>
            <rFont val="宋体"/>
            <charset val="134"/>
          </rPr>
          <t xml:space="preserve">ASUS:
绿壳蛋鸡市级29.045744万元+妙林田洋六乡主干渠市级11.496251万元</t>
        </r>
      </text>
    </comment>
  </commentList>
</comments>
</file>

<file path=xl/comments5.xml><?xml version="1.0" encoding="utf-8"?>
<comments xmlns="http://schemas.openxmlformats.org/spreadsheetml/2006/main">
  <authors>
    <author>ASUS</author>
  </authors>
  <commentList>
    <comment ref="B11" authorId="0">
      <text>
        <r>
          <rPr>
            <sz val="9"/>
            <color indexed="81"/>
            <rFont val="宋体"/>
            <charset val="134"/>
          </rPr>
          <t xml:space="preserve">ASUS:少数民族发展任务
</t>
        </r>
      </text>
    </comment>
    <comment ref="B24" authorId="0">
      <text>
        <r>
          <rPr>
            <sz val="9"/>
            <color indexed="81"/>
            <rFont val="宋体"/>
            <charset val="134"/>
          </rPr>
          <t xml:space="preserve">ASUS:
少数民族发展任务
</t>
        </r>
      </text>
    </comment>
  </commentList>
</comments>
</file>

<file path=xl/sharedStrings.xml><?xml version="1.0" encoding="utf-8"?>
<sst xmlns="http://schemas.openxmlformats.org/spreadsheetml/2006/main" count="521">
  <si>
    <t>附表2-1：</t>
  </si>
  <si>
    <t>____市县____（乡镇、部门）_____年度 扶贫资金项目（产业到村项目、基础设施项目）清单</t>
  </si>
  <si>
    <t>填表单位:</t>
  </si>
  <si>
    <t>序号</t>
  </si>
  <si>
    <t>项目名称</t>
  </si>
  <si>
    <t>实施地点（**乡镇**村委会）</t>
  </si>
  <si>
    <t>建设任务（简述主要量化内容）</t>
  </si>
  <si>
    <t>市县下拨资金指标文件文号</t>
  </si>
  <si>
    <t>资金来源（万元）</t>
  </si>
  <si>
    <t>已支出  资金  （万元）</t>
  </si>
  <si>
    <t>结余结转（万元）</t>
  </si>
  <si>
    <t>项目建设完成情况</t>
  </si>
  <si>
    <t>项目现状</t>
  </si>
  <si>
    <t>项目监管责任落实情况</t>
  </si>
  <si>
    <t>是否形成资产</t>
  </si>
  <si>
    <t>资产类型（公益性、经营性、到户类）</t>
  </si>
  <si>
    <t>合计</t>
  </si>
  <si>
    <t>其中：</t>
  </si>
  <si>
    <t>责任单位</t>
  </si>
  <si>
    <t>责任人或联系人</t>
  </si>
  <si>
    <t>管理制度名称</t>
  </si>
  <si>
    <t>财政专项扶贫资金</t>
  </si>
  <si>
    <t>整合其他涉农资金</t>
  </si>
  <si>
    <t>行业扶贫资金</t>
  </si>
  <si>
    <t>社会扶贫资金</t>
  </si>
  <si>
    <t>中央资金</t>
  </si>
  <si>
    <t>省级资金</t>
  </si>
  <si>
    <t>市县资金</t>
  </si>
  <si>
    <t>一</t>
  </si>
  <si>
    <t>产业发展</t>
  </si>
  <si>
    <t>……</t>
  </si>
  <si>
    <t>二</t>
  </si>
  <si>
    <t>就业扶贫</t>
  </si>
  <si>
    <t>三</t>
  </si>
  <si>
    <t>易地扶贫搬迁</t>
  </si>
  <si>
    <t>四</t>
  </si>
  <si>
    <t>公益岗位</t>
  </si>
  <si>
    <t>五</t>
  </si>
  <si>
    <t>教育扶贫</t>
  </si>
  <si>
    <t>六</t>
  </si>
  <si>
    <t>健康扶贫</t>
  </si>
  <si>
    <t>七</t>
  </si>
  <si>
    <t>危房改造</t>
  </si>
  <si>
    <t>八</t>
  </si>
  <si>
    <t>金融扶贫</t>
  </si>
  <si>
    <t>九</t>
  </si>
  <si>
    <t>生活条件改善</t>
  </si>
  <si>
    <t>十</t>
  </si>
  <si>
    <t>综合保障性扶贫</t>
  </si>
  <si>
    <t>十一</t>
  </si>
  <si>
    <t>村基础设施</t>
  </si>
  <si>
    <t>十二</t>
  </si>
  <si>
    <t>村公共服务</t>
  </si>
  <si>
    <t>十三</t>
  </si>
  <si>
    <t>项目管理费</t>
  </si>
  <si>
    <r>
      <rPr>
        <sz val="11"/>
        <color theme="1"/>
        <rFont val="宋体"/>
        <charset val="134"/>
      </rPr>
      <t xml:space="preserve">备注：1.本表由会第三方填写，和户外核查（户外过程同步完成附件3-1）
   </t>
    </r>
    <r>
      <rPr>
        <sz val="11"/>
        <color rgb="FFFF0000"/>
        <rFont val="宋体"/>
        <charset val="134"/>
      </rPr>
      <t xml:space="preserve">  2.项目建设完成情况：1.在建，2.竣工验收，3.审计结算，</t>
    </r>
    <r>
      <rPr>
        <sz val="11"/>
        <color theme="1"/>
        <rFont val="宋体"/>
        <charset val="134"/>
      </rPr>
      <t xml:space="preserve">
     3.项目现状：1.正在运行、2.正在使用、3.停止运行、4.停止使用、5.已终止、6.已受益、7.已损毁、8.已损坏、9.已报废、10.其他</t>
    </r>
  </si>
  <si>
    <t>附表2-2：</t>
  </si>
  <si>
    <t>____市县____（乡镇、部门）_____年度 扶贫资金项目清单</t>
  </si>
  <si>
    <t>填表人：</t>
  </si>
  <si>
    <t>核实人：</t>
  </si>
  <si>
    <t>填报时间：xx年xx月xx日</t>
  </si>
  <si>
    <t xml:space="preserve"> </t>
  </si>
  <si>
    <t xml:space="preserve">备注：1.资金模块（黑粗框架内）由各各相关单位结合附件1填写，填写完成后，组织人手，实地核实项目现状，手写填报监管模块（粗框架外部分）（户外过程同步完成附表3-1）.
     2.本表资金数据总量应保持与附件1资金数据总量一致，（其中产业到村项目和基础设施项目数据由第三方提供，各镇汇总）
     4.项目建设完成情况：1.在建，2.竣工验收，3.审计结算
     5.项目现状：1.正在运行、2.正在使用、3.停止运行、4.停止使用、5.已终止、6.已受益、7.已损毁、8.已损坏、9.已报废、10.其他
</t>
  </si>
  <si>
    <t>育才生态区_村基础设施_雅林村委会高岭春头坡生产道路硬板化</t>
  </si>
  <si>
    <t>2021年育才生态区雅林委会生产道路硬板化(东风二子论至空壳)</t>
  </si>
  <si>
    <t>育才生态区_村基础设施_雅林村委会红岛一万竹至多海生产道路硬板化</t>
  </si>
  <si>
    <t>2021年育才生态区雅林村委会生产道路硬板化(大道一、大道二)</t>
  </si>
  <si>
    <t>育才生态区_村基础设施_育才生态区雅亮村杨厚小组生产道路硬化</t>
  </si>
  <si>
    <t>2021年育才生态区那会养鸡场入口至肥肠道路</t>
  </si>
  <si>
    <t>育才生态区_村基础设施_育才生态区雅亮村三道小组生产道路硬化</t>
  </si>
  <si>
    <t>育才生态区_村基础设施_育才生态区雅亮村冰帮小组生产道路硬化</t>
  </si>
  <si>
    <t>育才生态区_村基础设施_育才生态区雅亮村三内小组生产道路硬化</t>
  </si>
  <si>
    <t>育才生态区_村基础设施_育才生态区那受村建桥工程</t>
  </si>
  <si>
    <t>1、2021年育才生态区明善七组什善至什多生产道路硬板化</t>
  </si>
  <si>
    <t>2、2021年育才生态区明善六组五组墓地至芒果地生产道路硬板化</t>
  </si>
  <si>
    <t>3、2021年育才生态区明善二组垃圾屋至什量田生产道路硬板化工程</t>
  </si>
  <si>
    <t>4、2021年育才生态区马脚村那门村小组生产道路</t>
  </si>
  <si>
    <t>附表2-3：</t>
  </si>
  <si>
    <t>三亚市____（乡镇、部门）2021年度扶贫/衔接资金安排使用和项目实施情况明细表</t>
  </si>
  <si>
    <t>省级下拨资金指标文件文号</t>
  </si>
  <si>
    <t>区级下拨资金指标文件文号</t>
  </si>
  <si>
    <t>财政专项扶贫/衔接资金</t>
  </si>
  <si>
    <t>行业扶贫/衔接资金</t>
  </si>
  <si>
    <t>社会扶贫/衔接资金</t>
  </si>
  <si>
    <t>薏米产业发展项目</t>
  </si>
  <si>
    <t>海棠区</t>
  </si>
  <si>
    <t>三财农[2021] 55号
三财农[2021]81号</t>
  </si>
  <si>
    <t>海棠府[2021]130号
海棠府[2021]146号</t>
  </si>
  <si>
    <t>黑山羊养殖项目</t>
  </si>
  <si>
    <t>吉阳区</t>
  </si>
  <si>
    <t>分布式光伏电站项目</t>
  </si>
  <si>
    <t>三财农[2021] 55 号</t>
  </si>
  <si>
    <t>生猪养殖项目</t>
  </si>
  <si>
    <t>天涯区_产业项目_三亚市天涯区肉鸽养殖产业项目基地（续建）</t>
  </si>
  <si>
    <t>天涯区</t>
  </si>
  <si>
    <t>三财农〔2020〕170号
三财农[2021]81号</t>
  </si>
  <si>
    <t>天扶发〔2021〕2 号
天乡振组[2021]3号</t>
  </si>
  <si>
    <t>天涯区_产业项目_天涯区扎南村绿壳蛋鸡养殖产业基地项目</t>
  </si>
  <si>
    <t>三财农[2021]20号</t>
  </si>
  <si>
    <t>天扶发[2021]3号</t>
  </si>
  <si>
    <t>天涯区_产业项目_三亚甜瓜地理标志农产品保护工程</t>
  </si>
  <si>
    <t>三财农[2021] 55 号
三财农[2021]81号</t>
  </si>
  <si>
    <t>天乡振组[2021]1号
天乡振组[2021]3号
天委乡村振兴 [2021]2号</t>
  </si>
  <si>
    <t>天涯区_产业项目_初心莲池生态园项目</t>
  </si>
  <si>
    <t>天委乡村振兴 [2021]2号</t>
  </si>
  <si>
    <t>绿色生态循环肉牛繁育示范基地建设项目（一期）</t>
  </si>
  <si>
    <t>崖州区</t>
  </si>
  <si>
    <t>崖州开[2021]2号</t>
  </si>
  <si>
    <t>生产发展奖励</t>
  </si>
  <si>
    <t>三财农[2021]81号</t>
  </si>
  <si>
    <t>崖州府办[2021]124号</t>
  </si>
  <si>
    <t>三亚南鹿实业股份有限公司产业项目</t>
  </si>
  <si>
    <t>崖州府办[2021]124号
崖州府办[2021]123号</t>
  </si>
  <si>
    <t>抱古村委会睡莲加工厂房建设工程项目</t>
  </si>
  <si>
    <t>三财农〔2020〕170号</t>
  </si>
  <si>
    <t>崖脱贫指[2021]1号
崖州府办[2021]123号崖乡振组办[2021]1号</t>
  </si>
  <si>
    <t>黑山羊培养基地</t>
  </si>
  <si>
    <t>育才生态区</t>
  </si>
  <si>
    <t>三财农[2020]170号
三财农[2021]20号</t>
  </si>
  <si>
    <t>三育管委[2021]10号
三育管委[2021]46号</t>
  </si>
  <si>
    <t>村集体发展产业项目</t>
  </si>
  <si>
    <t>三财农[2021]20号
三财农[2021]55号
三财农[2021]63号
三财农[2021]81号</t>
  </si>
  <si>
    <t>三育管委[2021]46号
三育管委[2021]114号
三育管委[2021]154号
三育管委[2021]185号</t>
  </si>
  <si>
    <t>雅林村委会村集体发展产业项目</t>
  </si>
  <si>
    <t>三财农[2021]63号</t>
  </si>
  <si>
    <t>三育管委[2021]142号</t>
  </si>
  <si>
    <t>那受村委会发展冬季瓜菜育苗村集体产业项目</t>
  </si>
  <si>
    <t>三育管委[2021]154号</t>
  </si>
  <si>
    <t>那受村委会发展热带果树种植村集体产业项目</t>
  </si>
  <si>
    <t>发展产业“4000”元奖励项目</t>
  </si>
  <si>
    <t>三财农[2021]55号</t>
  </si>
  <si>
    <t>三育管委[2021]185号</t>
  </si>
  <si>
    <t>产业补贴</t>
  </si>
  <si>
    <t>三育管委[2021]170号
三育管委[2021]185号</t>
  </si>
  <si>
    <t>公益性岗位和就业扶贫公益专岗位补贴项目</t>
  </si>
  <si>
    <t>海棠府[2021]146号</t>
  </si>
  <si>
    <t>天涯区_就业扶贫_天涯区脱贫户和边缘户就业扶持项目</t>
  </si>
  <si>
    <t>天乡振组[2021]3号
天委乡村振兴 [2021]2号</t>
  </si>
  <si>
    <t>贫困劳动力外出务工奖励项目</t>
  </si>
  <si>
    <t>三育管委[2021]170号</t>
  </si>
  <si>
    <t>就业帮扶奖励补贴项目</t>
  </si>
  <si>
    <t>三财农[2020]170号
三财农[2021]20号
三财农[2021]55号</t>
  </si>
  <si>
    <t>乡村公益岗</t>
  </si>
  <si>
    <t>三财农[2021]63号
三财农[2021]81号</t>
  </si>
  <si>
    <t>三育管委[2021]154号
三育管委[2021]170号
三育管委[2021]185号</t>
  </si>
  <si>
    <t>青田村委会村道提升改造工程</t>
  </si>
  <si>
    <t>糖房村污水治理改造工程</t>
  </si>
  <si>
    <t>天涯区_村基础设施_三亚市天涯区贫困村抱前、抱龙村委会入户路硬化工程（续建）</t>
  </si>
  <si>
    <t>天扶发〔2021〕2 号</t>
  </si>
  <si>
    <t>天涯区_村基础设施_天涯区台楼村委会路灯安装工程</t>
  </si>
  <si>
    <t>天涯区_村基础设施_天涯区文门村委会西风村一、二小组村道照明工程</t>
  </si>
  <si>
    <t>天涯区_村基础设施_天涯区抱龙村委会入村主干道路灯安装工程</t>
  </si>
  <si>
    <t>天涯区_村基础设施_天涯区高峰片区农村道路拓宽改造工程（续建）</t>
  </si>
  <si>
    <t>天涯区_村基础设施_三亚市天涯区台楼村委会道路硬化工程</t>
  </si>
  <si>
    <t>天涯区_村基础设施_三亚市天涯区扎南村委会道路修复工程</t>
  </si>
  <si>
    <t>抱古村白河片道路硬板化工程</t>
  </si>
  <si>
    <t>崖脱贫指[2021]1号
崖乡振组办[2021]1号</t>
  </si>
  <si>
    <t>北岭村周家小组至坡田路口新建路灯安装工程</t>
  </si>
  <si>
    <t>崖州开[2021]2号
崖乡振组办[2021]1号</t>
  </si>
  <si>
    <t>抱古村、凤岭村道路硬板化工程</t>
  </si>
  <si>
    <t>赤草村和北岭村道路硬板化工程</t>
  </si>
  <si>
    <t>崖州府办[2021]124号
崖州府办[2021]123号
崖乡振组办[2021]1号</t>
  </si>
  <si>
    <t>拱北村入户道路</t>
  </si>
  <si>
    <t>崖州府办[2021]124号
崖乡振组办[2021]1号</t>
  </si>
  <si>
    <t>北岭村委会落基水库副坝道路硬板化工程</t>
  </si>
  <si>
    <t>北岭村村主干道至郎典道路路灯建设工程</t>
  </si>
  <si>
    <t>三财农[2021] 55号</t>
  </si>
  <si>
    <t>崖州府办[2021]80号</t>
  </si>
  <si>
    <t>凤岭村百香果基地道路硬化工程</t>
  </si>
  <si>
    <t>赤草村立村桥改造项目</t>
  </si>
  <si>
    <t>崖州府办[2021]80号
崖乡振组办[2021]1号</t>
  </si>
  <si>
    <t>赤草种碑村至坟墓山至立村道路硬化项目</t>
  </si>
  <si>
    <t>北岭村郎典小组、坝后小组道路硬板化工程项目</t>
  </si>
  <si>
    <t>北岭落基组到大毛组道路硬板化工程</t>
  </si>
  <si>
    <t>凤岭村村电线电路改造工程</t>
  </si>
  <si>
    <t>赤草四组至崖雅线道路硬板化工程</t>
  </si>
  <si>
    <t>雅林高岭春头坡等7条生产道路硬板化工程</t>
  </si>
  <si>
    <t>三育管委[2021]10号
三育管委[2021]110号
三育管委[2021]185号</t>
  </si>
  <si>
    <t>明善七组什善等4条生产道路硬板化工程</t>
  </si>
  <si>
    <t>三育管委[2021]46号
三育管委[2021]110号</t>
  </si>
  <si>
    <t>雅林东风二等3条生产道路硬化工程</t>
  </si>
  <si>
    <t>三育管委[2021]46号
三育管委[2021]110号
三育管委[2021]185号</t>
  </si>
  <si>
    <t>志马村道路硬化项目</t>
  </si>
  <si>
    <t>三育管委[2021]110号
三育管委[2021]170号
三育管委[2021]185号</t>
  </si>
  <si>
    <t>南塔村生产道路硬化项目</t>
  </si>
  <si>
    <t>三育管委[2021]114号
三育管委[2021]170号
三育管委[2021]185号</t>
  </si>
  <si>
    <t>马脚村委会那供二队生产道路硬化工程</t>
  </si>
  <si>
    <t>三育管委[2021]142号
三育管委[2021]170号
三育管委[2021]185号</t>
  </si>
  <si>
    <t>那受村委会三条生产道路硬化工程</t>
  </si>
  <si>
    <t>三育管委[2021]142号
三育管委[2021]185号</t>
  </si>
  <si>
    <t>2019年扶贫基础设施工程项目</t>
  </si>
  <si>
    <t>备注：1.项目业主单位结合扶贫资金项清单（附表2-2），汇总核对后形成并上报</t>
  </si>
  <si>
    <t>三亚市海棠区2022-2023年度衔接资金项目资产确权明细表</t>
  </si>
  <si>
    <t>项目年度</t>
  </si>
  <si>
    <t>形成资产项目名称</t>
  </si>
  <si>
    <t>主管部门</t>
  </si>
  <si>
    <t>项目业主单位</t>
  </si>
  <si>
    <t>资产名称</t>
  </si>
  <si>
    <t>资产类别</t>
  </si>
  <si>
    <t>资产存量(数量+单位)</t>
  </si>
  <si>
    <t>资产编号</t>
  </si>
  <si>
    <t>资产所有者名称</t>
  </si>
  <si>
    <t>资产所在位置</t>
  </si>
  <si>
    <t>资产原值
（元）</t>
  </si>
  <si>
    <t xml:space="preserve">资产现值（元) </t>
  </si>
  <si>
    <t>资产功能</t>
  </si>
  <si>
    <t>资产运营</t>
  </si>
  <si>
    <t>资产管护</t>
  </si>
  <si>
    <t>资产处置</t>
  </si>
  <si>
    <t>是否具备移交条件</t>
  </si>
  <si>
    <t>备注</t>
  </si>
  <si>
    <t>审核
意见</t>
  </si>
  <si>
    <t>项目大类</t>
  </si>
  <si>
    <t>项目子类</t>
  </si>
  <si>
    <t xml:space="preserve"> 财政专项扶贫/衔接资金</t>
  </si>
  <si>
    <t>其他资金</t>
  </si>
  <si>
    <t>是否正常</t>
  </si>
  <si>
    <t>是否
运营</t>
  </si>
  <si>
    <t>运营
方式</t>
  </si>
  <si>
    <t>运营
主体</t>
  </si>
  <si>
    <t>年度
收益</t>
  </si>
  <si>
    <t>管护
方式</t>
  </si>
  <si>
    <t>管护
主体</t>
  </si>
  <si>
    <t>处置方式</t>
  </si>
  <si>
    <t>处置
收益</t>
  </si>
  <si>
    <t>2022-2023</t>
  </si>
  <si>
    <t>海棠区薏米产业（二期）项目</t>
  </si>
  <si>
    <t>三亚市海棠区农业农村局</t>
  </si>
  <si>
    <t>薏米加工设备</t>
  </si>
  <si>
    <t>经营性资产</t>
  </si>
  <si>
    <t>固定资产</t>
  </si>
  <si>
    <t>薏米烘干设备一套、薏米清理除杂分级设备一套、薏米脱壳、风选除壳、籽仁分离设备一套、薏米仁碾白设备一套、薏米仁色选包装设备一套、配电系统一套、选配设备一套</t>
  </si>
  <si>
    <t>2023-01-J-07</t>
  </si>
  <si>
    <t>三亚市海棠区红旗社区</t>
  </si>
  <si>
    <t>三亚市海棠区南田居田湾队</t>
  </si>
  <si>
    <t>正常</t>
  </si>
  <si>
    <t>是</t>
  </si>
  <si>
    <t>合作经营</t>
  </si>
  <si>
    <t>三亚农投盈腾农业开发有限公司</t>
  </si>
  <si>
    <t>运营主体自行管护</t>
  </si>
  <si>
    <t>不适用</t>
  </si>
  <si>
    <t>三亚海棠区瓜菜标准化基地建设以及品牌创建项目</t>
  </si>
  <si>
    <t>水肥一体化设施系统</t>
  </si>
  <si>
    <t>水肥一体化设备一套、无土栽培设施一套、信物融合作物精准栽培管理平台系统</t>
  </si>
  <si>
    <t>2023-02-J-03</t>
  </si>
  <si>
    <t>三亚市海棠区林新村民委员会</t>
  </si>
  <si>
    <t>三亚市海棠区林新村</t>
  </si>
  <si>
    <t>海南淼众水务科技有限公司</t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</si>
  <si>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年海棠区南田居仲田队种植芒果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仿宋_GB2312"/>
        <charset val="134"/>
      </rPr>
      <t>亩标准化基地建设及品控溯源产业项目</t>
    </r>
  </si>
  <si>
    <t>芒果分选设备及智慧农业设备</t>
  </si>
  <si>
    <t>水肥一体化设备一套、农药快检设备一套、芒果分选设备一套、物联网设备一套、捕虫设备一套</t>
  </si>
  <si>
    <t>2023-03-J-05</t>
  </si>
  <si>
    <t>三亚市海棠区长海社区</t>
  </si>
  <si>
    <t>三亚市海棠区南田居南旦队</t>
  </si>
  <si>
    <t>三亚市海棠区盈腾农业开发有限公司</t>
  </si>
  <si>
    <t>海棠区棠鳄养殖产业项目</t>
  </si>
  <si>
    <t>专项应收款</t>
  </si>
  <si>
    <t>债权类资产</t>
  </si>
  <si>
    <t>按合同约定运营期到期后收回投资款500万元，形成以资金投入形成的获取收益形式存在的资产一项。</t>
  </si>
  <si>
    <t>2023-04-J-01</t>
  </si>
  <si>
    <t>三亚市海棠区洪李村股份经济合作联合社</t>
  </si>
  <si>
    <r>
      <rPr>
        <sz val="10"/>
        <color theme="1"/>
        <rFont val="仿宋_GB2312"/>
        <charset val="134"/>
      </rPr>
      <t>三亚市海棠区洪李村内穿龄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号</t>
    </r>
  </si>
  <si>
    <t>三亚市棠鳄实业有限公司</t>
  </si>
  <si>
    <t>海南三亚羊肚菌产业园项目</t>
  </si>
  <si>
    <t>三亚市海棠区藤桥村股份经济合作联合社</t>
  </si>
  <si>
    <t>按合同约定运营期到期后收回投资款44.30万元，形成以资金投入形成的获取收益形式存在的资产一项。</t>
  </si>
  <si>
    <t>2023-05-J-01</t>
  </si>
  <si>
    <t>三亚市海棠区南田居响水队</t>
  </si>
  <si>
    <t>海南汉和实业有限公司</t>
  </si>
  <si>
    <t>业主单位即资产所有者，无需移交</t>
  </si>
  <si>
    <t>海棠区洪李棠鳄鳄鱼养殖设施项目</t>
  </si>
  <si>
    <t>三亚市海棠区洪李村民委员会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</si>
  <si>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围墙长</t>
    </r>
    <r>
      <rPr>
        <sz val="10"/>
        <color theme="1"/>
        <rFont val="Times New Roman"/>
        <charset val="134"/>
      </rPr>
      <t>348</t>
    </r>
    <r>
      <rPr>
        <sz val="10"/>
        <color theme="1"/>
        <rFont val="仿宋_GB2312"/>
        <charset val="134"/>
      </rPr>
      <t>米、高</t>
    </r>
    <r>
      <rPr>
        <sz val="10"/>
        <color theme="1"/>
        <rFont val="Times New Roman"/>
        <charset val="134"/>
      </rPr>
      <t>2.2</t>
    </r>
    <r>
      <rPr>
        <sz val="10"/>
        <color theme="1"/>
        <rFont val="仿宋_GB2312"/>
        <charset val="134"/>
      </rPr>
      <t xml:space="preserve">米砖墙结构；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仿宋_GB2312"/>
        <charset val="134"/>
      </rPr>
      <t>鳄鱼池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个。</t>
    </r>
  </si>
  <si>
    <t>固定资产，围墙约长348米、高2.2米砖墙结构，鳄鱼池3个。</t>
  </si>
  <si>
    <t>2023-06-J-04</t>
  </si>
  <si>
    <t>三亚市海棠区洪李村内穿岭</t>
  </si>
  <si>
    <r>
      <rPr>
        <sz val="10"/>
        <color theme="1"/>
        <rFont val="仿宋_GB2312"/>
        <charset val="134"/>
      </rPr>
      <t>海棠区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年村道安全整治工程</t>
    </r>
  </si>
  <si>
    <t>三亚市海棠区住房和城乡建设局</t>
  </si>
  <si>
    <r>
      <rPr>
        <sz val="10"/>
        <color theme="1"/>
        <rFont val="仿宋_GB2312"/>
        <charset val="134"/>
      </rPr>
      <t>海棠区</t>
    </r>
    <r>
      <rPr>
        <sz val="10"/>
        <color theme="1"/>
        <rFont val="Times New Roman"/>
        <charset val="134"/>
      </rPr>
      <t>C922</t>
    </r>
    <r>
      <rPr>
        <sz val="10"/>
        <color theme="1"/>
        <rFont val="仿宋_GB2312"/>
        <charset val="134"/>
      </rPr>
      <t>村道</t>
    </r>
  </si>
  <si>
    <t>公益性资产</t>
  </si>
  <si>
    <t>固定资产（交通道路）</t>
  </si>
  <si>
    <t>海堂区C922村道安装波形护栏1706米，修复破损路面207平方米，挡土墙长度10米，高度为2米。</t>
  </si>
  <si>
    <t>2023-07-G-01</t>
  </si>
  <si>
    <t>三亚市海棠区北山村、南田居</t>
  </si>
  <si>
    <t>自行管护</t>
  </si>
  <si>
    <r>
      <rPr>
        <sz val="10"/>
        <color theme="1"/>
        <rFont val="仿宋_GB2312"/>
        <charset val="134"/>
      </rPr>
      <t xml:space="preserve">海棠区洪李村道路建设项目 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</si>
  <si>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仿宋_GB2312"/>
        <charset val="134"/>
      </rPr>
      <t xml:space="preserve">海棠区洪李村道路 </t>
    </r>
    <r>
      <rPr>
        <sz val="10"/>
        <color theme="1"/>
        <rFont val="Times New Roman"/>
        <charset val="134"/>
      </rPr>
      <t xml:space="preserve"> </t>
    </r>
  </si>
  <si>
    <t>道路硬化：长度约150米，宽度5米，厚度0.2米。</t>
  </si>
  <si>
    <t>2023-08-G-01</t>
  </si>
  <si>
    <t>海棠区洪李村</t>
  </si>
  <si>
    <t>2023年</t>
  </si>
  <si>
    <r>
      <rPr>
        <sz val="12"/>
        <color theme="1"/>
        <rFont val="宋体"/>
        <charset val="134"/>
      </rPr>
      <t>崖州区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产业项目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崖州区坡田洋种植常年蔬菜南瓜等</t>
    </r>
    <r>
      <rPr>
        <sz val="12"/>
        <color theme="1"/>
        <rFont val="Courier New"/>
        <charset val="134"/>
      </rPr>
      <t>800</t>
    </r>
    <r>
      <rPr>
        <sz val="12"/>
        <color theme="1"/>
        <rFont val="宋体"/>
        <charset val="134"/>
      </rPr>
      <t>亩项目</t>
    </r>
  </si>
  <si>
    <t>三亚市崖州区人民政府</t>
  </si>
  <si>
    <t>区农业农村局</t>
  </si>
  <si>
    <r>
      <rPr>
        <sz val="12"/>
        <color theme="1"/>
        <rFont val="Courier New"/>
        <charset val="134"/>
      </rPr>
      <t>2023</t>
    </r>
    <r>
      <rPr>
        <sz val="12"/>
        <color theme="1"/>
        <rFont val="宋体"/>
        <charset val="134"/>
      </rPr>
      <t>年专项应收款</t>
    </r>
    <r>
      <rPr>
        <sz val="12"/>
        <color theme="1"/>
        <rFont val="Courier New"/>
        <charset val="134"/>
      </rPr>
      <t>-</t>
    </r>
    <r>
      <rPr>
        <sz val="12"/>
        <color theme="1"/>
        <rFont val="宋体"/>
        <charset val="134"/>
      </rPr>
      <t>三亚仕泓农业科技有限公司合作</t>
    </r>
  </si>
  <si>
    <t>债权（三亚仕泓农业科技有限公司，年收益率6%，3年到期返本）</t>
  </si>
  <si>
    <t>2023-01-J-01</t>
  </si>
  <si>
    <t>三亚市崖州区抱古村占比48.56%、赤草村占比51.44%。</t>
  </si>
  <si>
    <t>崖州区赤草村</t>
  </si>
  <si>
    <t>合作发展</t>
  </si>
  <si>
    <t>三亚仕泓农业科技有限公司</t>
  </si>
  <si>
    <t>委托管护</t>
  </si>
  <si>
    <r>
      <rPr>
        <sz val="12"/>
        <color theme="1"/>
        <rFont val="宋体"/>
        <charset val="134"/>
      </rPr>
      <t>崖州区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产业项目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崖州区仕泓农业科技循环产业综合体项目</t>
    </r>
  </si>
  <si>
    <t>2023-02-J-01</t>
  </si>
  <si>
    <t>三亚市崖州区赤草村占比8.73%、凤岭村12.9%、北岭村12.9%、雅安村5.4%、海棠村5.03%、城西村5.03%、大蛋村1.37%、三更村9.36%、梅东村1.37%、梅西村1.37%、盐灶村1.37%、保平村1.37%、港门村1.37%、镇海村1.37%、南山村3.66%、三公里村4.66%、长山村5.58%、水南村4.66%、乾隆村1.01%、临高村1.01%、城东村1.01%、拱北村1.01%、崖城村1.01%、中和社区1.01%、龙港社区1.01%、雀信社区1.01%、东关社区1.01%、南滨居3.43%。</t>
  </si>
  <si>
    <t>崖州区长山村</t>
  </si>
  <si>
    <r>
      <rPr>
        <sz val="12"/>
        <color theme="1"/>
        <rFont val="宋体"/>
        <charset val="134"/>
      </rPr>
      <t>崖州区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农村基础设施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三亚市崖州区临高村基础设施提升工程项目</t>
    </r>
  </si>
  <si>
    <t>区住建局</t>
  </si>
  <si>
    <r>
      <rPr>
        <sz val="12"/>
        <color theme="1"/>
        <rFont val="Courier New"/>
        <charset val="134"/>
      </rPr>
      <t>2023</t>
    </r>
    <r>
      <rPr>
        <sz val="12"/>
        <color theme="1"/>
        <rFont val="宋体"/>
        <charset val="134"/>
      </rPr>
      <t>年崖州区临高村道路硬化</t>
    </r>
  </si>
  <si>
    <t>交通道路</t>
  </si>
  <si>
    <t>1.道路约2073米；
2.排水沟约1100米。</t>
  </si>
  <si>
    <t>2023-01-G-01</t>
  </si>
  <si>
    <t>三亚市崖州区临高村委会</t>
  </si>
  <si>
    <t>崖州区临高村</t>
  </si>
  <si>
    <t>崖州区住建局</t>
  </si>
  <si>
    <r>
      <rPr>
        <sz val="12"/>
        <color theme="1"/>
        <rFont val="宋体"/>
        <charset val="134"/>
      </rPr>
      <t>崖州区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农村基础设施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凤岭村入户道路硬板化项目</t>
    </r>
  </si>
  <si>
    <t>崖州区乡村振兴局</t>
  </si>
  <si>
    <r>
      <rPr>
        <sz val="12"/>
        <color theme="1"/>
        <rFont val="Courier New"/>
        <charset val="134"/>
      </rPr>
      <t>2023</t>
    </r>
    <r>
      <rPr>
        <sz val="12"/>
        <color theme="1"/>
        <rFont val="宋体"/>
        <charset val="134"/>
      </rPr>
      <t>年崖州区凤岭村入户道路硬化</t>
    </r>
  </si>
  <si>
    <t>入户道路硬化约2000米。</t>
  </si>
  <si>
    <t>2023-02-G-01</t>
  </si>
  <si>
    <t>三亚市崖州区凤岭村委会</t>
  </si>
  <si>
    <t>崖州区凤岭村</t>
  </si>
  <si>
    <r>
      <rPr>
        <sz val="12"/>
        <color theme="1"/>
        <rFont val="宋体"/>
        <charset val="134"/>
      </rPr>
      <t>崖州区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配套设施项目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海棠村委会一、二、三组排洪沟水渠项目</t>
    </r>
  </si>
  <si>
    <r>
      <rPr>
        <sz val="12"/>
        <color theme="1"/>
        <rFont val="Courier New"/>
        <charset val="134"/>
      </rPr>
      <t>2023</t>
    </r>
    <r>
      <rPr>
        <sz val="12"/>
        <color theme="1"/>
        <rFont val="宋体"/>
        <charset val="134"/>
      </rPr>
      <t>年崖州区海棠村排洪沟水渠</t>
    </r>
  </si>
  <si>
    <t>农田水利</t>
  </si>
  <si>
    <t>排沟2条468米；交通桥4座；排水口1座；迁移路灯2座。</t>
  </si>
  <si>
    <t>2023-03-G-01</t>
  </si>
  <si>
    <t>三亚市崖州区海棠村委会</t>
  </si>
  <si>
    <t>崖州区海棠村</t>
  </si>
  <si>
    <r>
      <rPr>
        <sz val="12"/>
        <color theme="1"/>
        <rFont val="宋体"/>
        <charset val="134"/>
      </rPr>
      <t>崖州区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配套设施项目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梅东村岭落水库西干渠硬化工程项目</t>
    </r>
  </si>
  <si>
    <r>
      <rPr>
        <sz val="12"/>
        <color theme="1"/>
        <rFont val="Courier New"/>
        <charset val="134"/>
      </rPr>
      <t>2023</t>
    </r>
    <r>
      <rPr>
        <sz val="12"/>
        <color theme="1"/>
        <rFont val="宋体"/>
        <charset val="134"/>
      </rPr>
      <t>年崖州区梅东村西干渠硬化</t>
    </r>
  </si>
  <si>
    <t>1.C25砼渠道长约2585m,修复砼路肩67m;新建斗门1座；
2.改造及新建附属建筑物5座</t>
  </si>
  <si>
    <t>2023-04-G-01</t>
  </si>
  <si>
    <t>三亚市崖州区梅东村委会</t>
  </si>
  <si>
    <t>崖州区梅东村</t>
  </si>
  <si>
    <r>
      <rPr>
        <sz val="12"/>
        <color theme="1"/>
        <rFont val="宋体"/>
        <charset val="134"/>
      </rPr>
      <t>崖州区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配套设施项目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三亚市崖州区大隆北干渠大茅段水毁应急修复工程</t>
    </r>
  </si>
  <si>
    <t>崖州区农业农村局</t>
  </si>
  <si>
    <r>
      <rPr>
        <sz val="12"/>
        <color theme="1"/>
        <rFont val="Courier New"/>
        <charset val="134"/>
      </rPr>
      <t>2023</t>
    </r>
    <r>
      <rPr>
        <sz val="12"/>
        <color theme="1"/>
        <rFont val="宋体"/>
        <charset val="134"/>
      </rPr>
      <t>年崖州区大隆北干渠大茅段水毁应急修复</t>
    </r>
  </si>
  <si>
    <t>C25钢筋砼边墙及地板长19.2米；采用C25砼边墙及底板硬化渠下涵上游土沟，长45米。</t>
  </si>
  <si>
    <t>2023-05-G-01</t>
  </si>
  <si>
    <t>三亚市崖州区水林局</t>
  </si>
  <si>
    <t>崖州区北岭村</t>
  </si>
  <si>
    <t>崖州区水林局</t>
  </si>
  <si>
    <r>
      <rPr>
        <sz val="12"/>
        <color theme="1"/>
        <rFont val="宋体"/>
        <charset val="134"/>
      </rPr>
      <t>崖州区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人居环境整治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凤岭村北渠沟清淤及护栏安全项目</t>
    </r>
  </si>
  <si>
    <r>
      <rPr>
        <sz val="12"/>
        <color theme="1"/>
        <rFont val="Courier New"/>
        <charset val="134"/>
      </rPr>
      <t>2023</t>
    </r>
    <r>
      <rPr>
        <sz val="12"/>
        <color theme="1"/>
        <rFont val="宋体"/>
        <charset val="134"/>
      </rPr>
      <t>年崖州区凤岭村北渠沟护栏</t>
    </r>
  </si>
  <si>
    <t>其他</t>
  </si>
  <si>
    <t>镀锌钢管波形防护栏，总长528.00米。</t>
  </si>
  <si>
    <t>2023-06-G-01</t>
  </si>
  <si>
    <r>
      <rPr>
        <sz val="12"/>
        <color theme="1"/>
        <rFont val="宋体"/>
        <charset val="134"/>
      </rPr>
      <t>崖州区_农村基础设施</t>
    </r>
    <r>
      <rPr>
        <sz val="12"/>
        <color theme="1"/>
        <rFont val="Courier New"/>
        <charset val="134"/>
      </rPr>
      <t>_</t>
    </r>
    <r>
      <rPr>
        <sz val="12"/>
        <color theme="1"/>
        <rFont val="宋体"/>
        <charset val="134"/>
      </rPr>
      <t>三亚市崖州区抱古村小组防护栏及照明路灯建设工程项目</t>
    </r>
  </si>
  <si>
    <r>
      <rPr>
        <sz val="12"/>
        <color theme="1"/>
        <rFont val="Courier New"/>
        <charset val="134"/>
      </rPr>
      <t>2023</t>
    </r>
    <r>
      <rPr>
        <sz val="12"/>
        <color theme="1"/>
        <rFont val="宋体"/>
        <charset val="134"/>
      </rPr>
      <t>年崖州区抱古村防护栏及路灯</t>
    </r>
  </si>
  <si>
    <t>1.防护栏总长2154m；
2.路灯32盏，篮球场照明灯6盏</t>
  </si>
  <si>
    <t>三亚市崖州区抱古村委会</t>
  </si>
  <si>
    <t>崖州区抱古村</t>
  </si>
  <si>
    <t>三亚市____（乡镇、部门）2022年度扶贫/衔接资金安排使用和项目实施情况明细表</t>
  </si>
  <si>
    <t>薏米产业（二期）项目</t>
  </si>
  <si>
    <t>三财农[2022]23号</t>
  </si>
  <si>
    <t>海棠乡村振兴办[2022]1号</t>
  </si>
  <si>
    <t>瓜菜200亩标准基地建设及耐热品种筛选产业项目</t>
  </si>
  <si>
    <t>芒果200亩标准化基地建设及品控溯源产业项目</t>
  </si>
  <si>
    <t>助农交易市场项目</t>
  </si>
  <si>
    <t>罗蓬村农产品仓储冷链合作项目</t>
  </si>
  <si>
    <t>吉阳府办[2022]5号</t>
  </si>
  <si>
    <t>榆红村农产品仓储冷链合作项目</t>
  </si>
  <si>
    <t>农投菜篮子生鲜超市东岸店项目</t>
  </si>
  <si>
    <t>三财农[2022]91号</t>
  </si>
  <si>
    <t>吉农组[2022]3号</t>
  </si>
  <si>
    <t>崖州湾深海养殖项目</t>
  </si>
  <si>
    <t>崖乡振组[2022]1号</t>
  </si>
  <si>
    <t>100MW农光互补项目</t>
  </si>
  <si>
    <t>水产苗种南繁项目</t>
  </si>
  <si>
    <t>常年蔬菜项目</t>
  </si>
  <si>
    <t>生产发展奖励项目</t>
  </si>
  <si>
    <t>产业发展补贴项目</t>
  </si>
  <si>
    <t>产业发展奖励项目</t>
  </si>
  <si>
    <t>那会村秸秆精制生物有机肥料加工厂建设项目</t>
  </si>
  <si>
    <t>那受村委会蔬菜瓜果基地大棚建设项目</t>
  </si>
  <si>
    <t>那受村委会八个村小组水稻种植项目</t>
  </si>
  <si>
    <t>甜糯玉米种植加工产业项目</t>
  </si>
  <si>
    <t>天涯区_产业项目_三亚甜瓜地理标志农产品保护工程项目（续建）</t>
  </si>
  <si>
    <t>天委办[2022]21号</t>
  </si>
  <si>
    <t>天涯区_产业项目_天涯区扎南村绿壳蛋鸡养殖产业基地项目（续建）</t>
  </si>
  <si>
    <t>天委办[2022]21号
天委乡村振兴[2022]3号</t>
  </si>
  <si>
    <t>天涯区_产业项目_天涯区抱前红掌扩种产业项目</t>
  </si>
  <si>
    <t>天涯区_产业项目_天涯区抱龙肉鸽养殖产业基地项目</t>
  </si>
  <si>
    <t>天涯区_产业项目_抱龙村机械化农业服务项目</t>
  </si>
  <si>
    <t>天涯区_产业项目_三亚市天涯区台楼村榴莲柚子高标准种植产业项目</t>
  </si>
  <si>
    <t>天涯区_产业项目_三亚三力源西甜瓜产业项目</t>
  </si>
  <si>
    <t>天委办[2022]54号</t>
  </si>
  <si>
    <t>天涯区_产业项目_天涯区扎南蛋鸡合作养殖产业项目</t>
  </si>
  <si>
    <t>三财农[2022]85号
三财农[2022]91号</t>
  </si>
  <si>
    <t>天委办[2022]51号
天委乡村振兴[2022]2号
天委办[2022]54号</t>
  </si>
  <si>
    <t>天涯区_产业项目_天涯区2022年脱贫户及监测户产业扶持奖励项目</t>
  </si>
  <si>
    <t>天委办[2022]51号</t>
  </si>
  <si>
    <t>乡村公益性岗位项目</t>
  </si>
  <si>
    <t>天涯区_就业扶贫_2022年天涯区就业补助资金扶持项目</t>
  </si>
  <si>
    <t>天委办[2022]51号
天委乡村振兴[2022]2号</t>
  </si>
  <si>
    <t>2022年农村公路养护工程项目</t>
  </si>
  <si>
    <t>营根洋（椰林片区）排涝工程项目</t>
  </si>
  <si>
    <t>三公里村农田生态沟渠建设项目</t>
  </si>
  <si>
    <t>农村公路路灯亮化工程项目</t>
  </si>
  <si>
    <t>长山、梅东田洋应急补水灌溉工程项目</t>
  </si>
  <si>
    <t>抱古村二组、五组田间排水沟改造工程项目</t>
  </si>
  <si>
    <t>梅东田洋渠道改造工程项目</t>
  </si>
  <si>
    <t>凤岭村机耕路硬板化工程项目</t>
  </si>
  <si>
    <t>金鸡水库应急防渗加固工程项目</t>
  </si>
  <si>
    <t>抱古村和凤岭村道路硬板化工程项目</t>
  </si>
  <si>
    <t>赤草村和北岭村道路硬板化工程项目</t>
  </si>
  <si>
    <t>雅林高岭春头坡等7条生产道路</t>
  </si>
  <si>
    <t>明善七组什善等4条生产道路</t>
  </si>
  <si>
    <t>雅林东风二等3条生产道路</t>
  </si>
  <si>
    <t>乡村路灯亮化工程</t>
  </si>
  <si>
    <t>志马村道路硬板化项目</t>
  </si>
  <si>
    <t>天涯区_村基础设施_天涯区肉鸽基地附属道路工程</t>
  </si>
  <si>
    <t>天涯区_村基础设施_天涯肉鸽养殖产业基地护坡应急整治工程</t>
  </si>
  <si>
    <t>天涯区_村基础设施_三亚市天涯区扎南蛋鸡养殖配套设施提升项目</t>
  </si>
  <si>
    <t>天涯区_村基础设施_三亚市天涯区抱龙村中间田洋应急排涝工程</t>
  </si>
  <si>
    <t>天涯区_村基础设施_三亚市天涯区抱龙村红旗小组光电控水系统灌溉工程项目</t>
  </si>
  <si>
    <t>天涯区_村基础设施_三亚市天涯区长田山塘主干渠道改造工程</t>
  </si>
  <si>
    <t>天涯区_村基础设施_三亚市天涯区新联村委会官长田洋灌溉渠道改造工程</t>
  </si>
  <si>
    <t>天涯区_村基础设施_三亚市天涯区槟榔村委会风门黄猄四小组机耕路改造工程</t>
  </si>
  <si>
    <t>天涯区_村基础设施_三亚市天涯区妙林田洋六乡主干渠改造工程</t>
  </si>
  <si>
    <t>天涯区_村基础设施_三亚市天涯区打狗坝东干渠改迁工程</t>
  </si>
  <si>
    <t>天涯区_村基础设施_三亚市天涯区贫困村立新等三个村委会涵洞改建工程</t>
  </si>
  <si>
    <t>天涯区_村基础设施_三亚市天涯区抱龙村至立新村主干道绿化、防护等附属设施工程</t>
  </si>
  <si>
    <t>天涯区_村基础设施_三亚市天涯区新联村委会人居环境整治入户路硬化工程</t>
  </si>
  <si>
    <t>天委办[2022]46号</t>
  </si>
  <si>
    <t>天涯区_村基础设施_三亚市天涯区黑土村委会村内道路硬化工程</t>
  </si>
  <si>
    <t>天涯区_村基础设施_三亚市天涯区抱龙村委会扎文小组森林防火巡护道路建设工程</t>
  </si>
  <si>
    <t>天委办[2022]51号
天委乡村振兴[2022]2号
天委办[2022]46号
天委乡村振兴[2022]3号</t>
  </si>
  <si>
    <t>三财农[2022]23号
三财农[2022]91号</t>
  </si>
  <si>
    <t>崖乡振组[2022]1号
崖乡振组[2022]3号</t>
  </si>
  <si>
    <t>崖乡振组[2022]3号</t>
  </si>
  <si>
    <t>崖乡振组[2022]1号
崖乡振组[2022]4号
崖乡振组[2022]7号</t>
  </si>
  <si>
    <t>崖乡振组[2022]4号
崖乡振组[2022]7号</t>
  </si>
  <si>
    <t>崖乡振组[2022]7号</t>
  </si>
  <si>
    <t>崖乡振组[2022]1号
崖乡振组[2022]3号
崖乡振组[2022]7号</t>
  </si>
  <si>
    <t>崖乡振组[2022]3号
崖乡振组[2022]7号</t>
  </si>
  <si>
    <t>崖乡振组[2022]1号
崖乡振组[2022]7号</t>
  </si>
  <si>
    <t>海棠乡村振兴办[2022]1号
海棠乡村振兴办[2022]9号</t>
  </si>
  <si>
    <t>海棠乡村振兴办[2022]1号
海棠乡村振兴办[2022]3号
海棠乡村振兴办[2022]9号</t>
  </si>
  <si>
    <t>三亚育才生态区雅林村委会</t>
  </si>
  <si>
    <t>新建水泥路200 米长，3.0米宽，错车道1处</t>
  </si>
  <si>
    <t>三育管委[2021]10号
三育管委[2021]46号
三育管委[2021]110号
三育管委[2021]185号</t>
  </si>
  <si>
    <t>新建水泥路 485 米长，3.0米宽，错车道 2处</t>
  </si>
  <si>
    <t>三亚育才生态区雅亮村委会</t>
  </si>
  <si>
    <t>新建水泥路 282 米长，2.5 米宽，新建涵管 1道</t>
  </si>
  <si>
    <t>新建水泥路 238 米长，2.5米宽，新建涵管 1道，错车道 1处</t>
  </si>
  <si>
    <t>新建水泥路 350 米长，2.5-3.0米宽，挡土墙长 33 米，新建涵管 2 道，错车道 1处</t>
  </si>
  <si>
    <t>新建水泥路 1551米长，3.0米宽，错车道 1 处，新建涵管 4道，设置波形护栏 248米</t>
  </si>
  <si>
    <t>三亚育才生态区那受村委会</t>
  </si>
  <si>
    <t>新建公路设计路基宽度为 4.5m (含路肩墙)，路面宽度为 3.5m，新建 1-4.0钢筋混凝土盖板明涵，道路修建长度约 50m，两侧均做波形护栏，采用路面结构为 20cm水泥混凝土路面+20cm 级配碎石基层，拟对全线设置浆砌片石路肩墙及浆砌片石排水边沟</t>
  </si>
  <si>
    <t>育才生态区_村基础设施_育才生态区明善七组什善至什多生产道路硬板化工程</t>
  </si>
  <si>
    <t>三亚育才生态区明善村委会</t>
  </si>
  <si>
    <t>新建水泥路 855 米长，3.0米宽，挡土墙长 71 米，设置波形护栏 327 米</t>
  </si>
  <si>
    <t>育才生态区_村基础设施_育才生态区明善六组五组墓地至芒果地生产道路硬板化工程</t>
  </si>
  <si>
    <t>新建水泥路485 米长，3.0米宽，新建涵管1道</t>
  </si>
  <si>
    <t>育才生态区_村基础设施_育才生态区明善二组垃圾屋至什量田生产道路硬板化工程</t>
  </si>
  <si>
    <t>新建水泥路 800 米长，3.0米宽，新建涵管 1道，设置波形护栏 300米</t>
  </si>
  <si>
    <t>育才生态区_村基础设施_马脚村那门村小组生产用路</t>
  </si>
  <si>
    <t>三亚育才生态区马脚村委会</t>
  </si>
  <si>
    <t>新建水泥路 630 米长，2.5 米宽，挡土墙长 65 米，错车道2处</t>
  </si>
  <si>
    <t>育才生态区_村基础设施_那会养鸡场入口至肥场道路</t>
  </si>
  <si>
    <t>三亚育才生态区那会村委会</t>
  </si>
  <si>
    <t>新建水泥路长 497米，3.5 米宽</t>
  </si>
  <si>
    <t>育才生态区管委会_基础设施_雅林村委会生产道路（大道一、大道二）</t>
  </si>
  <si>
    <t>新建水泥路长1620 米，3米宽，挡土墙长 98 米，新建2 道圆管涵</t>
  </si>
  <si>
    <t>育才生态区_村基础设施_雅林村委会生产道路（东风二子论至空壳）</t>
  </si>
  <si>
    <t>新建水泥路长1698 米，2.5-3 米宽，挡土墙长 263 米，错车道 3 处</t>
  </si>
  <si>
    <t>附表3-2</t>
  </si>
  <si>
    <t>_____市县_____（乡镇、部门、村级）______年度扶贫项目资产台账</t>
  </si>
  <si>
    <t>资产原值
（万元）</t>
  </si>
  <si>
    <t>资产现值（万元)</t>
  </si>
  <si>
    <t xml:space="preserve"> 财政专项扶贫资金</t>
  </si>
  <si>
    <t>到户类资产</t>
  </si>
  <si>
    <t>经营性</t>
  </si>
  <si>
    <t>农林业产业基地</t>
  </si>
  <si>
    <t>生产加工设施</t>
  </si>
  <si>
    <t>户用光伏电站</t>
  </si>
  <si>
    <t>供水饮水</t>
  </si>
  <si>
    <t>经营性旅游服务设施</t>
  </si>
  <si>
    <t>到户生产设施</t>
  </si>
  <si>
    <t>环卫公厕</t>
  </si>
  <si>
    <t>经营性电商服务设施</t>
  </si>
  <si>
    <t>到户生产设备</t>
  </si>
  <si>
    <t>教育设施</t>
  </si>
  <si>
    <t>经营性基础设施</t>
  </si>
  <si>
    <t>生物性资产</t>
  </si>
  <si>
    <t>文化设施</t>
  </si>
  <si>
    <t>光伏电站（村级）</t>
  </si>
  <si>
    <t>体育设施</t>
  </si>
  <si>
    <t>股权投资</t>
  </si>
  <si>
    <t>卫生设施</t>
  </si>
  <si>
    <t>电力设施</t>
  </si>
  <si>
    <t>说明：根据审定后的附表3-1完成本表</t>
  </si>
  <si>
    <t>三育管委[2022]32号</t>
  </si>
  <si>
    <t>三育管委[2022]97号</t>
  </si>
  <si>
    <t>三育管委[2022]32号
三育管委[2022]97号</t>
  </si>
  <si>
    <t>三育管委[2022]97号
三育管委[2022]130号</t>
  </si>
  <si>
    <t>三育管委[2022]70号
三育管委[2022]97号
三育管委[2022]130号</t>
  </si>
  <si>
    <t>三育管委[2022]130号</t>
  </si>
  <si>
    <t>三育管委[2022]32号
三育管委[2022]70号</t>
  </si>
  <si>
    <t>三育管委[2022]30号
三育管委[2022]130号</t>
  </si>
  <si>
    <t>预算安排</t>
  </si>
  <si>
    <t>调整-总金额不变调整中央、省级比例</t>
  </si>
  <si>
    <t>区级资金指标文件文号</t>
  </si>
  <si>
    <t>区级调整资金指标文件文号</t>
  </si>
  <si>
    <t>资金来源（万元）-调整</t>
  </si>
  <si>
    <t>天委乡村振兴[2022]3号</t>
  </si>
  <si>
    <t>天委乡村振兴[2022]2号</t>
  </si>
  <si>
    <t>天涯区葡萄种植项目</t>
  </si>
  <si>
    <t>三亚市天涯区立新村委会扎毛小组道路提升养护工程</t>
  </si>
  <si>
    <t>天委办[2022]21号
天委办[2022]46号</t>
  </si>
  <si>
    <t>三亚市天涯区抱前村委会干沟一小组至三吉小组道路建设工程</t>
  </si>
  <si>
    <t>三亚市天涯区南岛中学道路提升工程</t>
  </si>
  <si>
    <t>三亚市天涯区台楼村委会六罗小组道路新建工程</t>
  </si>
  <si>
    <t>三亚市天涯区抱龙村委会扎文小组钢架桥梁建设工程</t>
  </si>
  <si>
    <t>崖州区绿色生态循环肉牛繁育示范基地建设项目（二期）</t>
  </si>
  <si>
    <t>崖州府办[2021]80号
崖州府办[2021]123号</t>
  </si>
  <si>
    <t>崖州府办[2021]123号</t>
  </si>
  <si>
    <t>崖乡振组办[2021]1号</t>
  </si>
  <si>
    <t>三育管委[2021]110号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</si>
</sst>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0.00000_ "/>
    <numFmt numFmtId="178" formatCode="0.0000_ "/>
  </numFmts>
  <fonts count="5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6"/>
      <name val="宋体"/>
      <charset val="134"/>
      <scheme val="minor"/>
    </font>
    <font>
      <sz val="9"/>
      <name val="等线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indexed="8"/>
      <name val="仿宋_GB2312"/>
      <charset val="134"/>
    </font>
    <font>
      <sz val="11"/>
      <color indexed="8"/>
      <name val="仿宋_GB2312"/>
      <charset val="134"/>
    </font>
    <font>
      <b/>
      <sz val="9"/>
      <name val="等线"/>
      <charset val="134"/>
    </font>
    <font>
      <sz val="9"/>
      <color indexed="8"/>
      <name val="等线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等线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Courier New"/>
      <charset val="134"/>
    </font>
    <font>
      <sz val="12"/>
      <color theme="1"/>
      <name val="等线"/>
      <charset val="134"/>
    </font>
    <font>
      <sz val="11"/>
      <color theme="1"/>
      <name val="Courier New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华文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7" fillId="10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4" borderId="35" applyNumberFormat="0" applyFon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5" fillId="9" borderId="32" applyNumberFormat="0" applyAlignment="0" applyProtection="0">
      <alignment vertical="center"/>
    </xf>
    <xf numFmtId="0" fontId="34" fillId="9" borderId="31" applyNumberFormat="0" applyAlignment="0" applyProtection="0">
      <alignment vertical="center"/>
    </xf>
    <xf numFmtId="0" fontId="31" fillId="6" borderId="30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9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3" fontId="5" fillId="0" borderId="4" xfId="8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3" fontId="7" fillId="0" borderId="4" xfId="8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0" fillId="0" borderId="0" xfId="0" applyNumberFormat="1">
      <alignment vertical="center"/>
    </xf>
    <xf numFmtId="0" fontId="0" fillId="2" borderId="0" xfId="0" applyFill="1">
      <alignment vertical="center"/>
    </xf>
    <xf numFmtId="0" fontId="5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3" fontId="7" fillId="2" borderId="4" xfId="8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43" fontId="7" fillId="3" borderId="4" xfId="8" applyFont="1" applyFill="1" applyBorder="1" applyAlignment="1">
      <alignment horizontal="center" vertical="center" wrapText="1"/>
    </xf>
    <xf numFmtId="4" fontId="1" fillId="0" borderId="0" xfId="0" applyNumberFormat="1" applyFont="1">
      <alignment vertical="center"/>
    </xf>
    <xf numFmtId="43" fontId="1" fillId="0" borderId="0" xfId="0" applyNumberFormat="1" applyFo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43" fontId="14" fillId="3" borderId="4" xfId="0" applyNumberFormat="1" applyFont="1" applyFill="1" applyBorder="1" applyAlignment="1">
      <alignment horizontal="center" vertical="center" wrapText="1"/>
    </xf>
    <xf numFmtId="10" fontId="0" fillId="0" borderId="0" xfId="11" applyNumberFormat="1" applyFont="1">
      <alignment vertical="center"/>
    </xf>
    <xf numFmtId="2" fontId="0" fillId="0" borderId="0" xfId="0" applyNumberFormat="1" applyFont="1">
      <alignment vertical="center"/>
    </xf>
    <xf numFmtId="2" fontId="0" fillId="0" borderId="0" xfId="0" applyNumberFormat="1">
      <alignment vertical="center"/>
    </xf>
    <xf numFmtId="43" fontId="0" fillId="0" borderId="0" xfId="8" applyFont="1">
      <alignment vertical="center"/>
    </xf>
    <xf numFmtId="4" fontId="0" fillId="0" borderId="0" xfId="0" applyNumberFormat="1">
      <alignment vertical="center"/>
    </xf>
    <xf numFmtId="43" fontId="15" fillId="3" borderId="4" xfId="8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4" borderId="0" xfId="0" applyFont="1" applyFill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 wrapText="1"/>
    </xf>
    <xf numFmtId="176" fontId="21" fillId="4" borderId="4" xfId="0" applyNumberFormat="1" applyFont="1" applyFill="1" applyBorder="1" applyAlignment="1">
      <alignment horizontal="center" vertical="center" wrapText="1"/>
    </xf>
    <xf numFmtId="177" fontId="21" fillId="4" borderId="4" xfId="0" applyNumberFormat="1" applyFont="1" applyFill="1" applyBorder="1" applyAlignment="1">
      <alignment horizontal="center" vertical="center" wrapText="1"/>
    </xf>
    <xf numFmtId="178" fontId="21" fillId="4" borderId="4" xfId="0" applyNumberFormat="1" applyFont="1" applyFill="1" applyBorder="1" applyAlignment="1">
      <alignment horizontal="center" vertical="center" wrapText="1"/>
    </xf>
    <xf numFmtId="0" fontId="23" fillId="4" borderId="9" xfId="0" applyNumberFormat="1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 wrapText="1"/>
    </xf>
    <xf numFmtId="0" fontId="23" fillId="4" borderId="10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43" fontId="22" fillId="4" borderId="7" xfId="8" applyFont="1" applyFill="1" applyBorder="1" applyAlignment="1">
      <alignment horizontal="center" vertical="center" wrapText="1"/>
    </xf>
    <xf numFmtId="43" fontId="22" fillId="4" borderId="4" xfId="8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43" fontId="7" fillId="0" borderId="4" xfId="0" applyNumberFormat="1" applyFont="1" applyBorder="1" applyAlignment="1">
      <alignment horizontal="center" vertical="center" wrapText="1"/>
    </xf>
    <xf numFmtId="43" fontId="7" fillId="0" borderId="0" xfId="0" applyNumberFormat="1" applyFont="1" applyAlignment="1">
      <alignment horizontal="center" vertical="center" wrapText="1"/>
    </xf>
    <xf numFmtId="10" fontId="0" fillId="0" borderId="0" xfId="11" applyNumberFormat="1" applyFont="1" applyAlignment="1">
      <alignment horizontal="left" vertical="center"/>
    </xf>
    <xf numFmtId="43" fontId="28" fillId="0" borderId="8" xfId="8" applyFont="1" applyFill="1" applyBorder="1" applyAlignment="1">
      <alignment vertical="center" wrapText="1"/>
    </xf>
    <xf numFmtId="43" fontId="28" fillId="0" borderId="11" xfId="8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0000FF"/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49"/>
  <sheetViews>
    <sheetView workbookViewId="0">
      <selection activeCell="A2" sqref="A2:U2"/>
    </sheetView>
  </sheetViews>
  <sheetFormatPr defaultColWidth="9" defaultRowHeight="13.5"/>
  <cols>
    <col min="1" max="1" width="4.25833333333333" customWidth="1"/>
    <col min="2" max="2" width="11.3833333333333" customWidth="1"/>
    <col min="3" max="3" width="14.3833333333333" customWidth="1"/>
    <col min="4" max="4" width="19" customWidth="1"/>
    <col min="5" max="5" width="14.7583333333333" customWidth="1"/>
    <col min="6" max="6" width="8.38333333333333" customWidth="1"/>
    <col min="7" max="7" width="9.88333333333333" customWidth="1"/>
    <col min="8" max="8" width="9" customWidth="1"/>
    <col min="9" max="9" width="9.25833333333333" customWidth="1"/>
    <col min="10" max="10" width="8.25833333333333" customWidth="1"/>
    <col min="11" max="11" width="8.38333333333333" customWidth="1"/>
    <col min="12" max="12" width="7.38333333333333" customWidth="1"/>
    <col min="13" max="13" width="8" customWidth="1"/>
    <col min="14" max="14" width="8.75833333333333" customWidth="1"/>
    <col min="15" max="15" width="8.13333333333333" customWidth="1"/>
    <col min="16" max="16" width="8.63333333333333" customWidth="1"/>
    <col min="17" max="17" width="10.6333333333333" customWidth="1"/>
    <col min="18" max="18" width="7.88333333333333" customWidth="1"/>
    <col min="19" max="19" width="8.5" customWidth="1"/>
    <col min="20" max="20" width="7.25833333333333" customWidth="1"/>
    <col min="21" max="21" width="9.63333333333333" customWidth="1"/>
  </cols>
  <sheetData>
    <row r="1" ht="18.75" spans="1:3">
      <c r="A1" s="2" t="s">
        <v>0</v>
      </c>
      <c r="B1" s="2"/>
      <c r="C1" s="2"/>
    </row>
    <row r="2" ht="24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4" customHeight="1" spans="1:21">
      <c r="A3" s="133" t="s">
        <v>2</v>
      </c>
      <c r="B3" s="13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110" t="s">
        <v>3</v>
      </c>
      <c r="B4" s="111" t="s">
        <v>4</v>
      </c>
      <c r="C4" s="111" t="s">
        <v>5</v>
      </c>
      <c r="D4" s="111" t="s">
        <v>6</v>
      </c>
      <c r="E4" s="111" t="s">
        <v>7</v>
      </c>
      <c r="F4" s="112" t="s">
        <v>8</v>
      </c>
      <c r="G4" s="113"/>
      <c r="H4" s="113"/>
      <c r="I4" s="113"/>
      <c r="J4" s="113"/>
      <c r="K4" s="113"/>
      <c r="L4" s="123"/>
      <c r="M4" s="124" t="s">
        <v>9</v>
      </c>
      <c r="N4" s="125" t="s">
        <v>10</v>
      </c>
      <c r="O4" s="126" t="s">
        <v>11</v>
      </c>
      <c r="P4" s="6" t="s">
        <v>12</v>
      </c>
      <c r="Q4" s="17" t="s">
        <v>13</v>
      </c>
      <c r="R4" s="16"/>
      <c r="S4" s="20"/>
      <c r="T4" s="6" t="s">
        <v>14</v>
      </c>
      <c r="U4" s="6" t="s">
        <v>15</v>
      </c>
    </row>
    <row r="5" ht="14.45" customHeight="1" spans="1:21">
      <c r="A5" s="114"/>
      <c r="B5" s="8"/>
      <c r="C5" s="8"/>
      <c r="D5" s="8"/>
      <c r="E5" s="8"/>
      <c r="F5" s="9" t="s">
        <v>16</v>
      </c>
      <c r="G5" s="17" t="s">
        <v>17</v>
      </c>
      <c r="H5" s="16"/>
      <c r="I5" s="16"/>
      <c r="J5" s="16"/>
      <c r="K5" s="16"/>
      <c r="L5" s="20"/>
      <c r="M5" s="8"/>
      <c r="N5" s="127"/>
      <c r="O5" s="128"/>
      <c r="P5" s="8"/>
      <c r="Q5" s="6" t="s">
        <v>18</v>
      </c>
      <c r="R5" s="6" t="s">
        <v>19</v>
      </c>
      <c r="S5" s="6" t="s">
        <v>20</v>
      </c>
      <c r="T5" s="8"/>
      <c r="U5" s="8"/>
    </row>
    <row r="6" customHeight="1" spans="1:21">
      <c r="A6" s="114"/>
      <c r="B6" s="8"/>
      <c r="C6" s="8"/>
      <c r="D6" s="8"/>
      <c r="E6" s="8"/>
      <c r="F6" s="10"/>
      <c r="G6" s="9" t="s">
        <v>21</v>
      </c>
      <c r="H6" s="10"/>
      <c r="I6" s="10"/>
      <c r="J6" s="9" t="s">
        <v>22</v>
      </c>
      <c r="K6" s="9" t="s">
        <v>23</v>
      </c>
      <c r="L6" s="9" t="s">
        <v>24</v>
      </c>
      <c r="M6" s="8"/>
      <c r="N6" s="127"/>
      <c r="O6" s="128"/>
      <c r="P6" s="8"/>
      <c r="Q6" s="8"/>
      <c r="R6" s="8"/>
      <c r="S6" s="8"/>
      <c r="T6" s="8"/>
      <c r="U6" s="8"/>
    </row>
    <row r="7" ht="49.9" customHeight="1" spans="1:21">
      <c r="A7" s="115"/>
      <c r="B7" s="11"/>
      <c r="C7" s="11"/>
      <c r="D7" s="11"/>
      <c r="E7" s="11"/>
      <c r="F7" s="10"/>
      <c r="G7" s="9" t="s">
        <v>25</v>
      </c>
      <c r="H7" s="9" t="s">
        <v>26</v>
      </c>
      <c r="I7" s="9" t="s">
        <v>27</v>
      </c>
      <c r="J7" s="9"/>
      <c r="K7" s="9"/>
      <c r="L7" s="9"/>
      <c r="M7" s="11"/>
      <c r="N7" s="129"/>
      <c r="O7" s="130"/>
      <c r="P7" s="11"/>
      <c r="Q7" s="11"/>
      <c r="R7" s="11"/>
      <c r="S7" s="11"/>
      <c r="T7" s="11"/>
      <c r="U7" s="11"/>
    </row>
    <row r="8" ht="15" customHeight="1" spans="1:21">
      <c r="A8" s="116" t="s">
        <v>16</v>
      </c>
      <c r="B8" s="11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1"/>
      <c r="O8" s="117"/>
      <c r="P8" s="13"/>
      <c r="Q8" s="13"/>
      <c r="R8" s="13"/>
      <c r="S8" s="13"/>
      <c r="T8" s="13"/>
      <c r="U8" s="13"/>
    </row>
    <row r="9" ht="15" customHeight="1" spans="1:21">
      <c r="A9" s="118" t="s">
        <v>28</v>
      </c>
      <c r="B9" s="13" t="s">
        <v>29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1"/>
      <c r="O9" s="117"/>
      <c r="P9" s="13"/>
      <c r="Q9" s="13"/>
      <c r="R9" s="13"/>
      <c r="S9" s="13"/>
      <c r="T9" s="13"/>
      <c r="U9" s="13"/>
    </row>
    <row r="10" ht="15" customHeight="1" spans="1:21">
      <c r="A10" s="118">
        <v>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1"/>
      <c r="O10" s="117"/>
      <c r="P10" s="13"/>
      <c r="Q10" s="13"/>
      <c r="R10" s="13"/>
      <c r="S10" s="13"/>
      <c r="T10" s="13"/>
      <c r="U10" s="13"/>
    </row>
    <row r="11" ht="15" customHeight="1" spans="1:21">
      <c r="A11" s="118" t="s">
        <v>30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1"/>
      <c r="O11" s="117"/>
      <c r="P11" s="13"/>
      <c r="Q11" s="13"/>
      <c r="R11" s="13"/>
      <c r="S11" s="13"/>
      <c r="T11" s="13"/>
      <c r="U11" s="13"/>
    </row>
    <row r="12" ht="15" customHeight="1" spans="1:21">
      <c r="A12" s="118" t="s">
        <v>31</v>
      </c>
      <c r="B12" s="13" t="s">
        <v>32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1"/>
      <c r="O12" s="117"/>
      <c r="P12" s="13"/>
      <c r="Q12" s="13"/>
      <c r="R12" s="13"/>
      <c r="S12" s="13"/>
      <c r="T12" s="13"/>
      <c r="U12" s="13"/>
    </row>
    <row r="13" ht="15" customHeight="1" spans="1:21">
      <c r="A13" s="118">
        <v>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1"/>
      <c r="O13" s="117"/>
      <c r="P13" s="13"/>
      <c r="Q13" s="13"/>
      <c r="R13" s="13"/>
      <c r="S13" s="13"/>
      <c r="T13" s="13"/>
      <c r="U13" s="13"/>
    </row>
    <row r="14" ht="15" customHeight="1" spans="1:21">
      <c r="A14" s="118" t="s">
        <v>30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1"/>
      <c r="O14" s="117"/>
      <c r="P14" s="13"/>
      <c r="Q14" s="13"/>
      <c r="R14" s="13"/>
      <c r="S14" s="13"/>
      <c r="T14" s="13"/>
      <c r="U14" s="13"/>
    </row>
    <row r="15" ht="15" customHeight="1" spans="1:21">
      <c r="A15" s="118" t="s">
        <v>33</v>
      </c>
      <c r="B15" s="13" t="s">
        <v>34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1"/>
      <c r="O15" s="117"/>
      <c r="P15" s="13"/>
      <c r="Q15" s="13"/>
      <c r="R15" s="13"/>
      <c r="S15" s="13"/>
      <c r="T15" s="13"/>
      <c r="U15" s="13"/>
    </row>
    <row r="16" ht="15" customHeight="1" spans="1:21">
      <c r="A16" s="118">
        <v>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1"/>
      <c r="O16" s="117"/>
      <c r="P16" s="13"/>
      <c r="Q16" s="13"/>
      <c r="R16" s="13"/>
      <c r="S16" s="13"/>
      <c r="T16" s="13"/>
      <c r="U16" s="13"/>
    </row>
    <row r="17" ht="15" customHeight="1" spans="1:21">
      <c r="A17" s="118" t="s">
        <v>30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1"/>
      <c r="O17" s="117"/>
      <c r="P17" s="13"/>
      <c r="Q17" s="13"/>
      <c r="R17" s="13"/>
      <c r="S17" s="13"/>
      <c r="T17" s="13"/>
      <c r="U17" s="13"/>
    </row>
    <row r="18" ht="15" customHeight="1" spans="1:21">
      <c r="A18" s="118" t="s">
        <v>35</v>
      </c>
      <c r="B18" s="13" t="s">
        <v>36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1"/>
      <c r="O18" s="117"/>
      <c r="P18" s="13"/>
      <c r="Q18" s="13"/>
      <c r="R18" s="13"/>
      <c r="S18" s="13"/>
      <c r="T18" s="13"/>
      <c r="U18" s="13"/>
    </row>
    <row r="19" ht="15" customHeight="1" spans="1:21">
      <c r="A19" s="118">
        <v>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1"/>
      <c r="O19" s="117"/>
      <c r="P19" s="13"/>
      <c r="Q19" s="13"/>
      <c r="R19" s="13"/>
      <c r="S19" s="13"/>
      <c r="T19" s="13"/>
      <c r="U19" s="13"/>
    </row>
    <row r="20" ht="15" customHeight="1" spans="1:21">
      <c r="A20" s="118" t="s">
        <v>30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1"/>
      <c r="O20" s="117"/>
      <c r="P20" s="13"/>
      <c r="Q20" s="13"/>
      <c r="R20" s="13"/>
      <c r="S20" s="13"/>
      <c r="T20" s="13"/>
      <c r="U20" s="13"/>
    </row>
    <row r="21" ht="15" customHeight="1" spans="1:21">
      <c r="A21" s="118" t="s">
        <v>37</v>
      </c>
      <c r="B21" s="13" t="s">
        <v>38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1"/>
      <c r="O21" s="117"/>
      <c r="P21" s="13"/>
      <c r="Q21" s="13"/>
      <c r="R21" s="13"/>
      <c r="S21" s="13"/>
      <c r="T21" s="13"/>
      <c r="U21" s="13"/>
    </row>
    <row r="22" ht="15" customHeight="1" spans="1:21">
      <c r="A22" s="118">
        <v>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1"/>
      <c r="O22" s="117"/>
      <c r="P22" s="13"/>
      <c r="Q22" s="13"/>
      <c r="R22" s="13"/>
      <c r="S22" s="13"/>
      <c r="T22" s="13"/>
      <c r="U22" s="13"/>
    </row>
    <row r="23" ht="15" customHeight="1" spans="1:21">
      <c r="A23" s="118" t="s">
        <v>30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1"/>
      <c r="O23" s="117"/>
      <c r="P23" s="13"/>
      <c r="Q23" s="13"/>
      <c r="R23" s="13"/>
      <c r="S23" s="13"/>
      <c r="T23" s="13"/>
      <c r="U23" s="13"/>
    </row>
    <row r="24" ht="15" customHeight="1" spans="1:21">
      <c r="A24" s="118" t="s">
        <v>39</v>
      </c>
      <c r="B24" s="13" t="s">
        <v>40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1"/>
      <c r="O24" s="117"/>
      <c r="P24" s="13"/>
      <c r="Q24" s="13"/>
      <c r="R24" s="13"/>
      <c r="S24" s="13"/>
      <c r="T24" s="13"/>
      <c r="U24" s="13"/>
    </row>
    <row r="25" ht="15" customHeight="1" spans="1:21">
      <c r="A25" s="118">
        <v>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1"/>
      <c r="O25" s="117"/>
      <c r="P25" s="13"/>
      <c r="Q25" s="13"/>
      <c r="R25" s="13"/>
      <c r="S25" s="13"/>
      <c r="T25" s="13"/>
      <c r="U25" s="13"/>
    </row>
    <row r="26" ht="15" customHeight="1" spans="1:21">
      <c r="A26" s="118" t="s">
        <v>30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1"/>
      <c r="O26" s="117"/>
      <c r="P26" s="13"/>
      <c r="Q26" s="13"/>
      <c r="R26" s="13"/>
      <c r="S26" s="13"/>
      <c r="T26" s="13"/>
      <c r="U26" s="13"/>
    </row>
    <row r="27" ht="15" customHeight="1" spans="1:21">
      <c r="A27" s="118" t="s">
        <v>41</v>
      </c>
      <c r="B27" s="13" t="s">
        <v>42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1"/>
      <c r="O27" s="117"/>
      <c r="P27" s="13"/>
      <c r="Q27" s="13"/>
      <c r="R27" s="13"/>
      <c r="S27" s="13"/>
      <c r="T27" s="13"/>
      <c r="U27" s="13"/>
    </row>
    <row r="28" ht="15" customHeight="1" spans="1:21">
      <c r="A28" s="118">
        <v>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1"/>
      <c r="O28" s="117"/>
      <c r="P28" s="13"/>
      <c r="Q28" s="13"/>
      <c r="R28" s="13"/>
      <c r="S28" s="13"/>
      <c r="T28" s="13"/>
      <c r="U28" s="13"/>
    </row>
    <row r="29" ht="15" customHeight="1" spans="1:21">
      <c r="A29" s="118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1"/>
      <c r="O29" s="117"/>
      <c r="P29" s="13"/>
      <c r="Q29" s="13"/>
      <c r="R29" s="13"/>
      <c r="S29" s="13"/>
      <c r="T29" s="13"/>
      <c r="U29" s="13"/>
    </row>
    <row r="30" ht="15" customHeight="1" spans="1:21">
      <c r="A30" s="118" t="s">
        <v>43</v>
      </c>
      <c r="B30" s="13" t="s">
        <v>44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1"/>
      <c r="O30" s="117"/>
      <c r="P30" s="13"/>
      <c r="Q30" s="13"/>
      <c r="R30" s="13"/>
      <c r="S30" s="13"/>
      <c r="T30" s="13"/>
      <c r="U30" s="13"/>
    </row>
    <row r="31" ht="15" customHeight="1" spans="1:21">
      <c r="A31" s="118">
        <v>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1"/>
      <c r="O31" s="117"/>
      <c r="P31" s="13"/>
      <c r="Q31" s="13"/>
      <c r="R31" s="13"/>
      <c r="S31" s="13"/>
      <c r="T31" s="13"/>
      <c r="U31" s="13"/>
    </row>
    <row r="32" ht="15" customHeight="1" spans="1:21">
      <c r="A32" s="118" t="s">
        <v>30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1"/>
      <c r="O32" s="117"/>
      <c r="P32" s="13"/>
      <c r="Q32" s="13"/>
      <c r="R32" s="13"/>
      <c r="S32" s="13"/>
      <c r="T32" s="13"/>
      <c r="U32" s="13"/>
    </row>
    <row r="33" ht="15" customHeight="1" spans="1:21">
      <c r="A33" s="118" t="s">
        <v>45</v>
      </c>
      <c r="B33" s="13" t="s">
        <v>46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1"/>
      <c r="O33" s="117"/>
      <c r="P33" s="13"/>
      <c r="Q33" s="13"/>
      <c r="R33" s="13"/>
      <c r="S33" s="13"/>
      <c r="T33" s="13"/>
      <c r="U33" s="13"/>
    </row>
    <row r="34" ht="15" customHeight="1" spans="1:21">
      <c r="A34" s="118">
        <v>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1"/>
      <c r="O34" s="117"/>
      <c r="P34" s="13"/>
      <c r="Q34" s="13"/>
      <c r="R34" s="13"/>
      <c r="S34" s="13"/>
      <c r="T34" s="13"/>
      <c r="U34" s="13"/>
    </row>
    <row r="35" ht="15" customHeight="1" spans="1:21">
      <c r="A35" s="118" t="s">
        <v>30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1"/>
      <c r="O35" s="117"/>
      <c r="P35" s="13"/>
      <c r="Q35" s="13"/>
      <c r="R35" s="13"/>
      <c r="S35" s="13"/>
      <c r="T35" s="13"/>
      <c r="U35" s="13"/>
    </row>
    <row r="36" ht="15" customHeight="1" spans="1:21">
      <c r="A36" s="118" t="s">
        <v>47</v>
      </c>
      <c r="B36" s="13" t="s">
        <v>48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1"/>
      <c r="O36" s="117"/>
      <c r="P36" s="13"/>
      <c r="Q36" s="13"/>
      <c r="R36" s="13"/>
      <c r="S36" s="13"/>
      <c r="T36" s="13"/>
      <c r="U36" s="13"/>
    </row>
    <row r="37" ht="15" customHeight="1" spans="1:21">
      <c r="A37" s="118">
        <v>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1"/>
      <c r="O37" s="117"/>
      <c r="P37" s="13"/>
      <c r="Q37" s="13"/>
      <c r="R37" s="13"/>
      <c r="S37" s="13"/>
      <c r="T37" s="13"/>
      <c r="U37" s="13"/>
    </row>
    <row r="38" ht="15" customHeight="1" spans="1:21">
      <c r="A38" s="118" t="s">
        <v>30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1"/>
      <c r="O38" s="117"/>
      <c r="P38" s="13"/>
      <c r="Q38" s="13"/>
      <c r="R38" s="13"/>
      <c r="S38" s="13"/>
      <c r="T38" s="13"/>
      <c r="U38" s="13"/>
    </row>
    <row r="39" ht="15" customHeight="1" spans="1:21">
      <c r="A39" s="118" t="s">
        <v>49</v>
      </c>
      <c r="B39" s="13" t="s">
        <v>50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1"/>
      <c r="O39" s="117"/>
      <c r="P39" s="13"/>
      <c r="Q39" s="13"/>
      <c r="R39" s="13"/>
      <c r="S39" s="13"/>
      <c r="T39" s="13"/>
      <c r="U39" s="13"/>
    </row>
    <row r="40" ht="15" customHeight="1" spans="1:21">
      <c r="A40" s="118">
        <v>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1"/>
      <c r="O40" s="117"/>
      <c r="P40" s="13"/>
      <c r="Q40" s="13"/>
      <c r="R40" s="13"/>
      <c r="S40" s="13"/>
      <c r="T40" s="13"/>
      <c r="U40" s="13"/>
    </row>
    <row r="41" ht="15" customHeight="1" spans="1:21">
      <c r="A41" s="118" t="s">
        <v>30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1"/>
      <c r="O41" s="117"/>
      <c r="P41" s="13"/>
      <c r="Q41" s="13"/>
      <c r="R41" s="13"/>
      <c r="S41" s="13"/>
      <c r="T41" s="13"/>
      <c r="U41" s="13"/>
    </row>
    <row r="42" ht="15" customHeight="1" spans="1:21">
      <c r="A42" s="118" t="s">
        <v>51</v>
      </c>
      <c r="B42" s="13" t="s">
        <v>52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1"/>
      <c r="O42" s="117"/>
      <c r="P42" s="13"/>
      <c r="Q42" s="13"/>
      <c r="R42" s="13"/>
      <c r="S42" s="13"/>
      <c r="T42" s="13"/>
      <c r="U42" s="13"/>
    </row>
    <row r="43" ht="15" customHeight="1" spans="1:21">
      <c r="A43" s="118">
        <v>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1"/>
      <c r="O43" s="117"/>
      <c r="P43" s="13"/>
      <c r="Q43" s="13"/>
      <c r="R43" s="13"/>
      <c r="S43" s="13"/>
      <c r="T43" s="13"/>
      <c r="U43" s="13"/>
    </row>
    <row r="44" ht="15" customHeight="1" spans="1:21">
      <c r="A44" s="118" t="s">
        <v>30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1"/>
      <c r="O44" s="117"/>
      <c r="P44" s="13"/>
      <c r="Q44" s="13"/>
      <c r="R44" s="13"/>
      <c r="S44" s="13"/>
      <c r="T44" s="13"/>
      <c r="U44" s="13"/>
    </row>
    <row r="45" ht="15" customHeight="1" spans="1:21">
      <c r="A45" s="118" t="s">
        <v>53</v>
      </c>
      <c r="B45" s="13" t="s">
        <v>54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1"/>
      <c r="O45" s="117"/>
      <c r="P45" s="13"/>
      <c r="Q45" s="13"/>
      <c r="R45" s="13"/>
      <c r="S45" s="13"/>
      <c r="T45" s="13"/>
      <c r="U45" s="13"/>
    </row>
    <row r="46" ht="15" customHeight="1" spans="1:21">
      <c r="A46" s="118">
        <v>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1"/>
      <c r="O46" s="117"/>
      <c r="P46" s="13"/>
      <c r="Q46" s="13"/>
      <c r="R46" s="13"/>
      <c r="S46" s="13"/>
      <c r="T46" s="13"/>
      <c r="U46" s="13"/>
    </row>
    <row r="47" ht="15" customHeight="1" spans="1:21">
      <c r="A47" s="119" t="s">
        <v>30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32"/>
      <c r="O47" s="117"/>
      <c r="P47" s="13"/>
      <c r="Q47" s="13"/>
      <c r="R47" s="13"/>
      <c r="S47" s="13"/>
      <c r="T47" s="13"/>
      <c r="U47" s="13"/>
    </row>
    <row r="48" spans="1:21">
      <c r="A48" s="134" t="s">
        <v>55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ht="58.15" customHeight="1" spans="1:2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</sheetData>
  <mergeCells count="27">
    <mergeCell ref="A1:C1"/>
    <mergeCell ref="A2:U2"/>
    <mergeCell ref="A3:B3"/>
    <mergeCell ref="F4:L4"/>
    <mergeCell ref="Q4:S4"/>
    <mergeCell ref="G5:L5"/>
    <mergeCell ref="G6:I6"/>
    <mergeCell ref="A8:B8"/>
    <mergeCell ref="A4:A7"/>
    <mergeCell ref="B4:B7"/>
    <mergeCell ref="C4:C7"/>
    <mergeCell ref="D4:D7"/>
    <mergeCell ref="E4:E7"/>
    <mergeCell ref="F5:F7"/>
    <mergeCell ref="J6:J7"/>
    <mergeCell ref="K6:K7"/>
    <mergeCell ref="L6:L7"/>
    <mergeCell ref="M4:M7"/>
    <mergeCell ref="N4:N7"/>
    <mergeCell ref="O4:O7"/>
    <mergeCell ref="P4:P7"/>
    <mergeCell ref="Q5:Q7"/>
    <mergeCell ref="R5:R7"/>
    <mergeCell ref="S5:S7"/>
    <mergeCell ref="T4:T7"/>
    <mergeCell ref="U4:U7"/>
    <mergeCell ref="A48:U49"/>
  </mergeCells>
  <pageMargins left="0.707638888888889" right="0.707638888888889" top="0.747916666666667" bottom="0.747916666666667" header="0.313888888888889" footer="0.313888888888889"/>
  <pageSetup paperSize="9" scale="5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S16"/>
  <sheetViews>
    <sheetView zoomScale="85" zoomScaleNormal="85" workbookViewId="0">
      <pane xSplit="10" ySplit="3" topLeftCell="K4" activePane="bottomRight" state="frozen"/>
      <selection/>
      <selection pane="topRight"/>
      <selection pane="bottomLeft"/>
      <selection pane="bottomRight" activeCell="R10" sqref="R10:S13"/>
    </sheetView>
  </sheetViews>
  <sheetFormatPr defaultColWidth="9" defaultRowHeight="13.5"/>
  <cols>
    <col min="1" max="1" width="4.25833333333333" customWidth="1"/>
    <col min="2" max="2" width="35.7583333333333" customWidth="1"/>
    <col min="3" max="3" width="20.6333333333333" customWidth="1"/>
    <col min="4" max="4" width="36.5" customWidth="1"/>
    <col min="5" max="5" width="19" hidden="1" customWidth="1"/>
    <col min="6" max="7" width="17.5" customWidth="1"/>
    <col min="8" max="10" width="14.5" customWidth="1"/>
    <col min="11" max="11" width="9.5" customWidth="1"/>
    <col min="12" max="14" width="12.2583333333333" customWidth="1"/>
    <col min="19" max="19" width="9.5" customWidth="1"/>
  </cols>
  <sheetData>
    <row r="1" spans="8:14">
      <c r="H1" s="9" t="s">
        <v>81</v>
      </c>
      <c r="I1" s="10"/>
      <c r="J1" s="10"/>
      <c r="L1" s="9" t="s">
        <v>81</v>
      </c>
      <c r="M1" s="10"/>
      <c r="N1" s="10"/>
    </row>
    <row r="2" customHeight="1" spans="8:14">
      <c r="H2" s="9" t="s">
        <v>25</v>
      </c>
      <c r="I2" s="9" t="s">
        <v>26</v>
      </c>
      <c r="J2" s="9" t="s">
        <v>27</v>
      </c>
      <c r="K2" s="18">
        <f>I3+I4+I5+I6+I7+I8+I9</f>
        <v>111.05</v>
      </c>
      <c r="L2" s="9" t="s">
        <v>25</v>
      </c>
      <c r="M2" s="9" t="s">
        <v>26</v>
      </c>
      <c r="N2" s="9" t="s">
        <v>27</v>
      </c>
    </row>
    <row r="3" ht="95.25" customHeight="1" spans="1:18">
      <c r="A3" s="13">
        <v>49</v>
      </c>
      <c r="B3" s="21" t="s">
        <v>63</v>
      </c>
      <c r="C3" s="44" t="s">
        <v>440</v>
      </c>
      <c r="D3" s="45" t="s">
        <v>441</v>
      </c>
      <c r="E3" s="13"/>
      <c r="F3" s="13" t="s">
        <v>118</v>
      </c>
      <c r="G3" s="13" t="s">
        <v>442</v>
      </c>
      <c r="H3" s="14">
        <v>27.09</v>
      </c>
      <c r="I3" s="14">
        <v>6.77</v>
      </c>
      <c r="J3" s="14"/>
      <c r="K3" s="18">
        <f>H3+H4+H5+H6+H7+H8+H9</f>
        <v>342</v>
      </c>
      <c r="L3" s="14">
        <f>-138.48*O3</f>
        <v>-10.9690736842105</v>
      </c>
      <c r="M3" s="14">
        <f>-55.970438*P3</f>
        <v>-3.41215547285007</v>
      </c>
      <c r="N3" s="14"/>
      <c r="O3">
        <f>H3/K3</f>
        <v>0.0792105263157895</v>
      </c>
      <c r="P3">
        <f>I3/$K$2</f>
        <v>0.0609635299414678</v>
      </c>
      <c r="Q3" s="18">
        <f>H3+L3</f>
        <v>16.1209263157895</v>
      </c>
      <c r="R3" s="18">
        <f>I3+M3</f>
        <v>3.35784452714993</v>
      </c>
    </row>
    <row r="4" ht="36.75" customHeight="1" spans="1:18">
      <c r="A4" s="13"/>
      <c r="B4" s="21" t="s">
        <v>65</v>
      </c>
      <c r="C4" s="44" t="s">
        <v>440</v>
      </c>
      <c r="D4" s="45" t="s">
        <v>443</v>
      </c>
      <c r="E4" s="13"/>
      <c r="F4" s="13" t="s">
        <v>118</v>
      </c>
      <c r="G4" s="13"/>
      <c r="H4" s="14">
        <v>51.89</v>
      </c>
      <c r="I4" s="14">
        <v>12.97</v>
      </c>
      <c r="J4" s="14"/>
      <c r="L4" s="14">
        <f t="shared" ref="L4:L9" si="0">-138.48*O4</f>
        <v>-21.010898245614</v>
      </c>
      <c r="M4" s="14">
        <f t="shared" ref="M4:M9" si="1">-55.970438*P4</f>
        <v>-6.5370245912652</v>
      </c>
      <c r="N4" s="14"/>
      <c r="O4">
        <f>H4/K3</f>
        <v>0.15172514619883</v>
      </c>
      <c r="P4">
        <f t="shared" ref="P4:P9" si="2">I4/$K$2</f>
        <v>0.116794236830257</v>
      </c>
      <c r="Q4" s="18">
        <f t="shared" ref="Q4:Q9" si="3">H4+L4</f>
        <v>30.879101754386</v>
      </c>
      <c r="R4" s="18">
        <f t="shared" ref="R4:R9" si="4">I4+M4</f>
        <v>6.4329754087348</v>
      </c>
    </row>
    <row r="5" ht="36.75" customHeight="1" spans="1:18">
      <c r="A5" s="13"/>
      <c r="B5" s="21" t="s">
        <v>67</v>
      </c>
      <c r="C5" s="44" t="s">
        <v>444</v>
      </c>
      <c r="D5" s="45" t="s">
        <v>445</v>
      </c>
      <c r="E5" s="13"/>
      <c r="F5" s="13" t="s">
        <v>118</v>
      </c>
      <c r="G5" s="13"/>
      <c r="H5" s="14">
        <v>30.87</v>
      </c>
      <c r="I5" s="14">
        <v>7.72</v>
      </c>
      <c r="J5" s="14"/>
      <c r="L5" s="14">
        <f t="shared" si="0"/>
        <v>-12.4996421052632</v>
      </c>
      <c r="M5" s="14">
        <f t="shared" si="1"/>
        <v>-3.89096606357497</v>
      </c>
      <c r="N5" s="14"/>
      <c r="O5">
        <f>H5/K3</f>
        <v>0.0902631578947369</v>
      </c>
      <c r="P5">
        <f t="shared" si="2"/>
        <v>0.0695182350292661</v>
      </c>
      <c r="Q5" s="18">
        <f t="shared" si="3"/>
        <v>18.3703578947368</v>
      </c>
      <c r="R5" s="18">
        <f t="shared" si="4"/>
        <v>3.82903393642503</v>
      </c>
    </row>
    <row r="6" ht="36.75" customHeight="1" spans="1:18">
      <c r="A6" s="13"/>
      <c r="B6" s="21" t="s">
        <v>69</v>
      </c>
      <c r="C6" s="44" t="s">
        <v>444</v>
      </c>
      <c r="D6" s="45" t="s">
        <v>446</v>
      </c>
      <c r="E6" s="13"/>
      <c r="F6" s="13" t="s">
        <v>118</v>
      </c>
      <c r="G6" s="13"/>
      <c r="H6" s="14">
        <v>20</v>
      </c>
      <c r="I6" s="14">
        <v>17.21</v>
      </c>
      <c r="J6" s="14"/>
      <c r="L6" s="14">
        <f t="shared" si="0"/>
        <v>-8.09824561403509</v>
      </c>
      <c r="M6" s="14">
        <f t="shared" si="1"/>
        <v>-8.67403185934264</v>
      </c>
      <c r="N6" s="14"/>
      <c r="O6">
        <f>H6/K3</f>
        <v>0.0584795321637427</v>
      </c>
      <c r="P6">
        <f t="shared" si="2"/>
        <v>0.154975236380009</v>
      </c>
      <c r="Q6" s="18">
        <f t="shared" si="3"/>
        <v>11.9017543859649</v>
      </c>
      <c r="R6" s="18">
        <f t="shared" si="4"/>
        <v>8.53596814065736</v>
      </c>
    </row>
    <row r="7" ht="36.75" customHeight="1" spans="1:18">
      <c r="A7" s="13"/>
      <c r="B7" s="21" t="s">
        <v>70</v>
      </c>
      <c r="C7" s="44" t="s">
        <v>444</v>
      </c>
      <c r="D7" s="45" t="s">
        <v>447</v>
      </c>
      <c r="E7" s="13"/>
      <c r="F7" s="13" t="s">
        <v>118</v>
      </c>
      <c r="G7" s="13"/>
      <c r="H7" s="14">
        <v>47.15</v>
      </c>
      <c r="I7" s="14">
        <v>11.79</v>
      </c>
      <c r="J7" s="14"/>
      <c r="L7" s="14">
        <f t="shared" si="0"/>
        <v>-19.0916140350877</v>
      </c>
      <c r="M7" s="14">
        <f t="shared" si="1"/>
        <v>-5.94229143647006</v>
      </c>
      <c r="N7" s="14"/>
      <c r="O7">
        <f>H7/K3</f>
        <v>0.137865497076023</v>
      </c>
      <c r="P7">
        <f t="shared" si="2"/>
        <v>0.106168392615939</v>
      </c>
      <c r="Q7" s="18">
        <f t="shared" si="3"/>
        <v>28.0583859649123</v>
      </c>
      <c r="R7" s="18">
        <f t="shared" si="4"/>
        <v>5.84770856352994</v>
      </c>
    </row>
    <row r="8" ht="36.75" customHeight="1" spans="1:18">
      <c r="A8" s="13"/>
      <c r="B8" s="21" t="s">
        <v>71</v>
      </c>
      <c r="C8" s="44" t="s">
        <v>444</v>
      </c>
      <c r="D8" s="45" t="s">
        <v>448</v>
      </c>
      <c r="E8" s="13"/>
      <c r="F8" s="13" t="s">
        <v>118</v>
      </c>
      <c r="G8" s="13"/>
      <c r="H8" s="14">
        <v>151.92</v>
      </c>
      <c r="I8" s="14">
        <v>37.98</v>
      </c>
      <c r="J8" s="14"/>
      <c r="L8" s="14">
        <f t="shared" si="0"/>
        <v>-61.5142736842105</v>
      </c>
      <c r="M8" s="14">
        <f t="shared" si="1"/>
        <v>-19.1423434060333</v>
      </c>
      <c r="N8" s="14"/>
      <c r="O8">
        <f>H8/K3</f>
        <v>0.444210526315789</v>
      </c>
      <c r="P8">
        <f t="shared" si="2"/>
        <v>0.342008104457452</v>
      </c>
      <c r="Q8" s="18">
        <f t="shared" si="3"/>
        <v>90.4057263157895</v>
      </c>
      <c r="R8" s="18">
        <f t="shared" si="4"/>
        <v>18.8376565939667</v>
      </c>
    </row>
    <row r="9" ht="84" customHeight="1" spans="1:18">
      <c r="A9" s="13"/>
      <c r="B9" s="21" t="s">
        <v>72</v>
      </c>
      <c r="C9" s="44" t="s">
        <v>449</v>
      </c>
      <c r="D9" s="45" t="s">
        <v>450</v>
      </c>
      <c r="E9" s="13"/>
      <c r="F9" s="13" t="s">
        <v>118</v>
      </c>
      <c r="G9" s="13"/>
      <c r="H9" s="14">
        <v>13.08</v>
      </c>
      <c r="I9" s="14">
        <v>16.61</v>
      </c>
      <c r="J9" s="14"/>
      <c r="L9" s="14">
        <f t="shared" si="0"/>
        <v>-5.29625263157895</v>
      </c>
      <c r="M9" s="14">
        <f t="shared" si="1"/>
        <v>-8.37162517046375</v>
      </c>
      <c r="N9" s="14"/>
      <c r="O9">
        <f>H9/K3</f>
        <v>0.0382456140350877</v>
      </c>
      <c r="P9">
        <f t="shared" si="2"/>
        <v>0.14957226474561</v>
      </c>
      <c r="Q9" s="18">
        <f t="shared" si="3"/>
        <v>7.78374736842105</v>
      </c>
      <c r="R9" s="18">
        <f t="shared" si="4"/>
        <v>8.23837482953624</v>
      </c>
    </row>
    <row r="10" ht="36.75" customHeight="1" spans="1:19">
      <c r="A10" s="13">
        <v>50</v>
      </c>
      <c r="B10" s="21" t="s">
        <v>451</v>
      </c>
      <c r="C10" s="46" t="s">
        <v>452</v>
      </c>
      <c r="D10" s="45" t="s">
        <v>453</v>
      </c>
      <c r="E10" s="13"/>
      <c r="F10" s="13" t="s">
        <v>98</v>
      </c>
      <c r="G10" s="13" t="s">
        <v>179</v>
      </c>
      <c r="H10" s="14"/>
      <c r="I10" s="14">
        <v>127.45</v>
      </c>
      <c r="J10" s="14">
        <v>28.89</v>
      </c>
      <c r="K10" s="18">
        <f>J10+J11+J12+J13</f>
        <v>312.78</v>
      </c>
      <c r="L10" s="14">
        <f t="shared" ref="L10:L13" si="5">-153.4*O10</f>
        <v>-14.1688279301746</v>
      </c>
      <c r="M10" s="14">
        <f>(-47.761555+-27.32)*O10</f>
        <v>-6.93492590303089</v>
      </c>
      <c r="N10" s="14"/>
      <c r="O10">
        <f>J10/$K$10</f>
        <v>0.0923652407442931</v>
      </c>
      <c r="R10" s="14">
        <f>I10</f>
        <v>127.45</v>
      </c>
      <c r="S10" s="18">
        <f t="shared" ref="S10:S13" si="6">J10+L10+M10</f>
        <v>7.78624616679455</v>
      </c>
    </row>
    <row r="11" ht="36.75" customHeight="1" spans="1:19">
      <c r="A11" s="13"/>
      <c r="B11" s="21" t="s">
        <v>454</v>
      </c>
      <c r="C11" s="46" t="s">
        <v>452</v>
      </c>
      <c r="D11" s="45" t="s">
        <v>455</v>
      </c>
      <c r="E11" s="13"/>
      <c r="F11" s="13" t="s">
        <v>98</v>
      </c>
      <c r="G11" s="13"/>
      <c r="H11" s="14"/>
      <c r="I11" s="14"/>
      <c r="J11" s="14">
        <v>67.14</v>
      </c>
      <c r="K11" s="18"/>
      <c r="L11" s="14">
        <f t="shared" si="5"/>
        <v>-32.9281795511222</v>
      </c>
      <c r="M11" s="14">
        <f t="shared" ref="M11:M13" si="7">(-47.761555+-27.32)*O11</f>
        <v>-16.1166813821216</v>
      </c>
      <c r="N11" s="14"/>
      <c r="O11">
        <f t="shared" ref="O11:O13" si="8">J11/$K$10</f>
        <v>0.214655668521005</v>
      </c>
      <c r="S11" s="18">
        <f t="shared" si="6"/>
        <v>18.0951390667562</v>
      </c>
    </row>
    <row r="12" ht="36.75" customHeight="1" spans="1:19">
      <c r="A12" s="13"/>
      <c r="B12" s="21" t="s">
        <v>456</v>
      </c>
      <c r="C12" s="46" t="s">
        <v>452</v>
      </c>
      <c r="D12" s="45" t="s">
        <v>457</v>
      </c>
      <c r="E12" s="13"/>
      <c r="F12" s="13" t="s">
        <v>98</v>
      </c>
      <c r="G12" s="13"/>
      <c r="H12" s="14"/>
      <c r="I12" s="14"/>
      <c r="J12" s="14">
        <v>127.93</v>
      </c>
      <c r="L12" s="14">
        <f t="shared" si="5"/>
        <v>-62.7420615128845</v>
      </c>
      <c r="M12" s="14">
        <f t="shared" si="7"/>
        <v>-30.7090713317667</v>
      </c>
      <c r="N12" s="14"/>
      <c r="O12">
        <f t="shared" si="8"/>
        <v>0.409009527463393</v>
      </c>
      <c r="S12" s="18">
        <f t="shared" si="6"/>
        <v>34.4788671553488</v>
      </c>
    </row>
    <row r="13" ht="36.75" customHeight="1" spans="1:19">
      <c r="A13" s="13"/>
      <c r="B13" s="21" t="s">
        <v>458</v>
      </c>
      <c r="C13" s="46" t="s">
        <v>459</v>
      </c>
      <c r="D13" s="45" t="s">
        <v>460</v>
      </c>
      <c r="E13" s="13"/>
      <c r="F13" s="13" t="s">
        <v>98</v>
      </c>
      <c r="G13" s="13"/>
      <c r="H13" s="14"/>
      <c r="I13" s="14"/>
      <c r="J13" s="14">
        <v>88.82</v>
      </c>
      <c r="L13" s="14">
        <f t="shared" si="5"/>
        <v>-43.5609310058188</v>
      </c>
      <c r="M13" s="14">
        <f t="shared" si="7"/>
        <v>-21.3208763830808</v>
      </c>
      <c r="N13" s="14"/>
      <c r="O13">
        <f t="shared" si="8"/>
        <v>0.283969563271309</v>
      </c>
      <c r="S13" s="18">
        <f t="shared" si="6"/>
        <v>23.9381926111004</v>
      </c>
    </row>
    <row r="14" ht="36.75" customHeight="1" spans="1:19">
      <c r="A14" s="13">
        <v>51</v>
      </c>
      <c r="B14" s="21" t="s">
        <v>461</v>
      </c>
      <c r="C14" s="44" t="s">
        <v>462</v>
      </c>
      <c r="D14" s="45" t="s">
        <v>463</v>
      </c>
      <c r="E14" s="13"/>
      <c r="F14" s="13" t="s">
        <v>98</v>
      </c>
      <c r="G14" s="13" t="s">
        <v>181</v>
      </c>
      <c r="H14" s="14"/>
      <c r="I14" s="14"/>
      <c r="J14" s="14">
        <v>48.15</v>
      </c>
      <c r="K14" s="18">
        <f>J14+J15+J16</f>
        <v>405.72</v>
      </c>
      <c r="L14" s="14">
        <f>-74.52*O14</f>
        <v>-8.84387755102041</v>
      </c>
      <c r="M14" s="14">
        <f>-72.783578*O14</f>
        <v>-8.6378026242236</v>
      </c>
      <c r="N14" s="14"/>
      <c r="O14">
        <f>J14/K14</f>
        <v>0.118677905944987</v>
      </c>
      <c r="S14" s="18">
        <f t="shared" ref="S14:S16" si="9">J14+L14+M14</f>
        <v>30.668319824756</v>
      </c>
    </row>
    <row r="15" ht="36.75" customHeight="1" spans="1:19">
      <c r="A15" s="13"/>
      <c r="B15" s="21" t="s">
        <v>464</v>
      </c>
      <c r="C15" s="44" t="s">
        <v>440</v>
      </c>
      <c r="D15" s="45" t="s">
        <v>465</v>
      </c>
      <c r="E15" s="13"/>
      <c r="F15" s="13" t="s">
        <v>98</v>
      </c>
      <c r="G15" s="13"/>
      <c r="H15" s="14"/>
      <c r="I15" s="14"/>
      <c r="J15" s="14">
        <v>142.73</v>
      </c>
      <c r="L15" s="14">
        <f t="shared" ref="L15:L16" si="10">-74.52*O15</f>
        <v>-26.2157142857143</v>
      </c>
      <c r="M15" s="14">
        <f t="shared" ref="M15:M16" si="11">-72.783578*O15</f>
        <v>-25.604850852657</v>
      </c>
      <c r="N15" s="14"/>
      <c r="O15">
        <f>J15/K14</f>
        <v>0.351794340924776</v>
      </c>
      <c r="S15" s="18">
        <f t="shared" si="9"/>
        <v>90.9094348616287</v>
      </c>
    </row>
    <row r="16" ht="36.75" customHeight="1" spans="1:19">
      <c r="A16" s="13"/>
      <c r="B16" s="21" t="s">
        <v>466</v>
      </c>
      <c r="C16" s="44" t="s">
        <v>440</v>
      </c>
      <c r="D16" s="45" t="s">
        <v>467</v>
      </c>
      <c r="E16" s="13"/>
      <c r="F16" s="13" t="s">
        <v>98</v>
      </c>
      <c r="G16" s="13"/>
      <c r="H16" s="14"/>
      <c r="I16" s="14"/>
      <c r="J16" s="14">
        <v>214.84</v>
      </c>
      <c r="L16" s="14">
        <f t="shared" si="10"/>
        <v>-39.4604081632653</v>
      </c>
      <c r="M16" s="14">
        <f t="shared" si="11"/>
        <v>-38.5409245231194</v>
      </c>
      <c r="N16" s="14"/>
      <c r="O16">
        <f>J16/K14</f>
        <v>0.529527753130238</v>
      </c>
      <c r="S16" s="18">
        <f t="shared" si="9"/>
        <v>136.838667313615</v>
      </c>
    </row>
  </sheetData>
  <mergeCells count="2">
    <mergeCell ref="H1:J1"/>
    <mergeCell ref="L1:N1"/>
  </mergeCells>
  <pageMargins left="0.707638888888889" right="0.707638888888889" top="0.747916666666667" bottom="0.747916666666667" header="0.313888888888889" footer="0.313888888888889"/>
  <pageSetup paperSize="9" scale="1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AB15"/>
  <sheetViews>
    <sheetView topLeftCell="D1" workbookViewId="0">
      <selection activeCell="M9" sqref="M9"/>
    </sheetView>
  </sheetViews>
  <sheetFormatPr defaultColWidth="9" defaultRowHeight="13.5"/>
  <cols>
    <col min="1" max="2" width="9" hidden="1" customWidth="1"/>
    <col min="3" max="3" width="12" hidden="1" customWidth="1"/>
    <col min="4" max="4" width="5.38333333333333" customWidth="1"/>
    <col min="5" max="5" width="24.2583333333333" customWidth="1"/>
    <col min="6" max="7" width="7.63333333333333" customWidth="1"/>
    <col min="8" max="8" width="13" customWidth="1"/>
    <col min="9" max="10" width="8.25833333333333" customWidth="1"/>
    <col min="11" max="11" width="8.88333333333333" customWidth="1"/>
    <col min="12" max="12" width="10.3833333333333" customWidth="1"/>
    <col min="13" max="13" width="8.13333333333333" customWidth="1"/>
    <col min="14" max="14" width="6.88333333333333" customWidth="1"/>
    <col min="15" max="17" width="8.75833333333333" customWidth="1"/>
    <col min="18" max="18" width="8.25833333333333" customWidth="1"/>
    <col min="19" max="19" width="5.13333333333333" customWidth="1"/>
    <col min="20" max="20" width="4.88333333333333" customWidth="1"/>
    <col min="21" max="21" width="5.13333333333333" customWidth="1"/>
    <col min="22" max="23" width="4.75833333333333" customWidth="1"/>
    <col min="24" max="24" width="5.13333333333333" customWidth="1"/>
    <col min="25" max="25" width="5.25833333333333" customWidth="1"/>
    <col min="26" max="26" width="4.5" customWidth="1"/>
    <col min="27" max="27" width="4.63333333333333" customWidth="1"/>
    <col min="28" max="28" width="5.88333333333333" customWidth="1"/>
  </cols>
  <sheetData>
    <row r="1" ht="18.75" customHeight="1" spans="4:28">
      <c r="D1" s="33" t="s">
        <v>468</v>
      </c>
      <c r="E1" s="33"/>
      <c r="F1" s="33"/>
      <c r="G1" s="33"/>
      <c r="H1" s="34"/>
      <c r="I1" s="33"/>
      <c r="J1" s="33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43.9" customHeight="1" spans="4:28">
      <c r="D2" s="3" t="s">
        <v>469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24" customHeight="1" spans="4:28">
      <c r="D3" s="35" t="s">
        <v>3</v>
      </c>
      <c r="E3" s="35" t="s">
        <v>194</v>
      </c>
      <c r="F3" s="36" t="s">
        <v>195</v>
      </c>
      <c r="G3" s="36" t="s">
        <v>196</v>
      </c>
      <c r="H3" s="35" t="s">
        <v>197</v>
      </c>
      <c r="I3" s="35" t="s">
        <v>198</v>
      </c>
      <c r="J3" s="35"/>
      <c r="K3" s="36" t="s">
        <v>199</v>
      </c>
      <c r="L3" s="35" t="s">
        <v>200</v>
      </c>
      <c r="M3" s="35" t="s">
        <v>201</v>
      </c>
      <c r="N3" s="35" t="s">
        <v>202</v>
      </c>
      <c r="O3" s="35" t="s">
        <v>470</v>
      </c>
      <c r="P3" s="35"/>
      <c r="Q3" s="35"/>
      <c r="R3" s="36" t="s">
        <v>471</v>
      </c>
      <c r="S3" s="35" t="s">
        <v>205</v>
      </c>
      <c r="T3" s="35" t="s">
        <v>206</v>
      </c>
      <c r="U3" s="35"/>
      <c r="V3" s="35"/>
      <c r="W3" s="35"/>
      <c r="X3" s="35" t="s">
        <v>207</v>
      </c>
      <c r="Y3" s="35"/>
      <c r="Z3" s="35" t="s">
        <v>208</v>
      </c>
      <c r="AA3" s="35"/>
      <c r="AB3" s="35" t="s">
        <v>210</v>
      </c>
    </row>
    <row r="4" ht="46.5" customHeight="1" spans="4:28">
      <c r="D4" s="36"/>
      <c r="E4" s="36"/>
      <c r="F4" s="37"/>
      <c r="G4" s="37"/>
      <c r="H4" s="36"/>
      <c r="I4" s="40" t="s">
        <v>212</v>
      </c>
      <c r="J4" s="37" t="s">
        <v>213</v>
      </c>
      <c r="K4" s="37"/>
      <c r="L4" s="36"/>
      <c r="M4" s="36"/>
      <c r="N4" s="36"/>
      <c r="O4" s="35" t="s">
        <v>16</v>
      </c>
      <c r="P4" s="41" t="s">
        <v>472</v>
      </c>
      <c r="Q4" s="35" t="s">
        <v>215</v>
      </c>
      <c r="R4" s="43"/>
      <c r="S4" s="35" t="s">
        <v>216</v>
      </c>
      <c r="T4" s="35" t="s">
        <v>217</v>
      </c>
      <c r="U4" s="35" t="s">
        <v>218</v>
      </c>
      <c r="V4" s="35" t="s">
        <v>219</v>
      </c>
      <c r="W4" s="35" t="s">
        <v>220</v>
      </c>
      <c r="X4" s="35" t="s">
        <v>221</v>
      </c>
      <c r="Y4" s="35" t="s">
        <v>222</v>
      </c>
      <c r="Z4" s="35" t="s">
        <v>223</v>
      </c>
      <c r="AA4" s="35" t="s">
        <v>224</v>
      </c>
      <c r="AB4" s="35"/>
    </row>
    <row r="5" ht="40.15" customHeight="1" spans="1:28">
      <c r="A5" t="s">
        <v>279</v>
      </c>
      <c r="B5" t="s">
        <v>229</v>
      </c>
      <c r="C5" t="s">
        <v>473</v>
      </c>
      <c r="D5" s="38">
        <v>1</v>
      </c>
      <c r="E5" s="38"/>
      <c r="F5" s="38"/>
      <c r="G5" s="38"/>
      <c r="H5" s="38"/>
      <c r="I5" s="38" t="s">
        <v>229</v>
      </c>
      <c r="J5" s="38"/>
      <c r="K5" s="38"/>
      <c r="L5" s="38"/>
      <c r="M5" s="38"/>
      <c r="N5" s="38"/>
      <c r="O5" s="38"/>
      <c r="P5" s="42"/>
      <c r="Q5" s="42"/>
      <c r="R5" s="42"/>
      <c r="S5" s="38"/>
      <c r="T5" s="38"/>
      <c r="U5" s="38"/>
      <c r="V5" s="38"/>
      <c r="W5" s="38"/>
      <c r="X5" s="38"/>
      <c r="Y5" s="38"/>
      <c r="Z5" s="38"/>
      <c r="AA5" s="38"/>
      <c r="AB5" s="38" t="s">
        <v>474</v>
      </c>
    </row>
    <row r="6" ht="40.15" customHeight="1" spans="1:28">
      <c r="A6" t="s">
        <v>309</v>
      </c>
      <c r="B6" t="s">
        <v>475</v>
      </c>
      <c r="C6" t="s">
        <v>42</v>
      </c>
      <c r="D6" s="38">
        <v>2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42"/>
      <c r="Q6" s="42"/>
      <c r="R6" s="42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ht="40.15" customHeight="1" spans="1:28">
      <c r="A7" t="s">
        <v>324</v>
      </c>
      <c r="B7" t="s">
        <v>476</v>
      </c>
      <c r="C7" t="s">
        <v>477</v>
      </c>
      <c r="D7" s="38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42"/>
      <c r="Q7" s="42"/>
      <c r="R7" s="42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ht="40.15" customHeight="1" spans="1:28">
      <c r="A8" t="s">
        <v>478</v>
      </c>
      <c r="B8" t="s">
        <v>479</v>
      </c>
      <c r="C8" t="s">
        <v>480</v>
      </c>
      <c r="D8" s="38">
        <v>4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42"/>
      <c r="Q8" s="42"/>
      <c r="R8" s="42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ht="40.15" customHeight="1" spans="1:28">
      <c r="A9" t="s">
        <v>481</v>
      </c>
      <c r="B9" t="s">
        <v>482</v>
      </c>
      <c r="C9" t="s">
        <v>483</v>
      </c>
      <c r="D9" s="38">
        <v>5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42"/>
      <c r="Q9" s="42"/>
      <c r="R9" s="42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ht="40.15" customHeight="1" spans="1:28">
      <c r="A10" t="s">
        <v>484</v>
      </c>
      <c r="B10" t="s">
        <v>485</v>
      </c>
      <c r="C10" t="s">
        <v>486</v>
      </c>
      <c r="D10" s="38">
        <v>6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42"/>
      <c r="Q10" s="42"/>
      <c r="R10" s="42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ht="40.15" customHeight="1" spans="1:28">
      <c r="A11" t="s">
        <v>487</v>
      </c>
      <c r="B11" t="s">
        <v>488</v>
      </c>
      <c r="C11" t="s">
        <v>345</v>
      </c>
      <c r="D11" s="38">
        <v>7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42"/>
      <c r="Q11" s="42"/>
      <c r="R11" s="42"/>
      <c r="S11" s="38"/>
      <c r="T11" s="38"/>
      <c r="U11" s="38"/>
      <c r="V11" s="38"/>
      <c r="W11" s="38"/>
      <c r="X11" s="38"/>
      <c r="Y11" s="38"/>
      <c r="Z11" s="38"/>
      <c r="AA11" s="38"/>
      <c r="AB11" s="38"/>
    </row>
    <row r="12" ht="40.15" customHeight="1" spans="1:28">
      <c r="A12" t="s">
        <v>489</v>
      </c>
      <c r="B12" t="s">
        <v>490</v>
      </c>
      <c r="D12" s="38">
        <v>8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42"/>
      <c r="Q12" s="42"/>
      <c r="R12" s="42"/>
      <c r="S12" s="38"/>
      <c r="T12" s="38"/>
      <c r="U12" s="38"/>
      <c r="V12" s="38"/>
      <c r="W12" s="38"/>
      <c r="X12" s="38"/>
      <c r="Y12" s="38"/>
      <c r="Z12" s="38"/>
      <c r="AA12" s="38"/>
      <c r="AB12" s="38"/>
    </row>
    <row r="13" ht="40.15" customHeight="1" spans="1:28">
      <c r="A13" t="s">
        <v>491</v>
      </c>
      <c r="B13" t="s">
        <v>345</v>
      </c>
      <c r="D13" s="38">
        <v>9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42"/>
      <c r="Q13" s="42"/>
      <c r="R13" s="42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14" ht="40.15" customHeight="1" spans="1:28">
      <c r="A14" t="s">
        <v>492</v>
      </c>
      <c r="D14" s="38">
        <v>10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42"/>
      <c r="Q14" s="42"/>
      <c r="R14" s="42"/>
      <c r="S14" s="38"/>
      <c r="T14" s="38"/>
      <c r="U14" s="38"/>
      <c r="V14" s="38"/>
      <c r="W14" s="38"/>
      <c r="X14" s="38"/>
      <c r="Y14" s="38"/>
      <c r="Z14" s="38"/>
      <c r="AA14" s="38"/>
      <c r="AB14" s="38"/>
    </row>
    <row r="15" ht="46.15" customHeight="1" spans="4:28">
      <c r="D15" s="39" t="s">
        <v>493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</row>
  </sheetData>
  <mergeCells count="19">
    <mergeCell ref="D1:E1"/>
    <mergeCell ref="D2:AB2"/>
    <mergeCell ref="I3:J3"/>
    <mergeCell ref="O3:Q3"/>
    <mergeCell ref="T3:W3"/>
    <mergeCell ref="X3:Y3"/>
    <mergeCell ref="Z3:AA3"/>
    <mergeCell ref="D15:AB15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R3:R4"/>
    <mergeCell ref="AB3:AB4"/>
  </mergeCells>
  <dataValidations count="2">
    <dataValidation type="list" allowBlank="1" showInputMessage="1" showErrorMessage="1" sqref="I5:I14">
      <formula1>'附表 3-2'!项目大类</formula1>
    </dataValidation>
    <dataValidation type="list" allowBlank="1" showInputMessage="1" showErrorMessage="1" sqref="J5:J14">
      <formula1>INDIRECT($I5)</formula1>
    </dataValidation>
  </dataValidations>
  <pageMargins left="0.707638888888889" right="0.707638888888889" top="0.747916666666667" bottom="0.747916666666667" header="0.313888888888889" footer="0.313888888888889"/>
  <pageSetup paperSize="9" scale="6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V28"/>
  <sheetViews>
    <sheetView topLeftCell="F6" workbookViewId="0">
      <selection activeCell="U17" sqref="U17"/>
    </sheetView>
  </sheetViews>
  <sheetFormatPr defaultColWidth="9" defaultRowHeight="13.5"/>
  <cols>
    <col min="1" max="1" width="4.25833333333333" customWidth="1"/>
    <col min="2" max="2" width="32.1333333333333" customWidth="1"/>
    <col min="3" max="3" width="14.3833333333333" customWidth="1"/>
    <col min="4" max="4" width="19" customWidth="1"/>
    <col min="5" max="6" width="17.1333333333333" customWidth="1"/>
    <col min="7" max="7" width="22.2583333333333" customWidth="1"/>
    <col min="8" max="8" width="10.5" customWidth="1"/>
    <col min="9" max="11" width="10.3833333333333" customWidth="1"/>
    <col min="12" max="12" width="18.5" customWidth="1"/>
    <col min="13" max="13" width="10.2583333333333" customWidth="1"/>
    <col min="14" max="16" width="12.3833333333333" customWidth="1"/>
    <col min="17" max="17" width="10.2583333333333" customWidth="1"/>
    <col min="18" max="20" width="12.3833333333333" customWidth="1"/>
    <col min="21" max="21" width="10.7583333333333" customWidth="1"/>
    <col min="22" max="22" width="9.63333333333333" customWidth="1"/>
  </cols>
  <sheetData>
    <row r="1" ht="26.25" customHeight="1" spans="1:8">
      <c r="A1" s="2" t="s">
        <v>77</v>
      </c>
      <c r="B1" s="2"/>
      <c r="C1" s="2"/>
      <c r="H1" s="23"/>
    </row>
    <row r="2" ht="26.25" customHeight="1" spans="1:12">
      <c r="A2" s="3" t="s">
        <v>353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6.25" customHeight="1" spans="1:12">
      <c r="A3" s="4" t="s">
        <v>58</v>
      </c>
      <c r="B3" s="4"/>
      <c r="C3" s="5"/>
      <c r="D3" s="5" t="s">
        <v>59</v>
      </c>
      <c r="E3" s="5"/>
      <c r="F3" s="3"/>
      <c r="G3" s="3"/>
      <c r="H3" s="3"/>
      <c r="I3" s="3"/>
      <c r="J3" s="3"/>
      <c r="K3" s="3"/>
      <c r="L3" s="3"/>
    </row>
    <row r="4" ht="19.5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6" t="s">
        <v>79</v>
      </c>
      <c r="F4" s="6" t="s">
        <v>7</v>
      </c>
      <c r="G4" s="6" t="s">
        <v>80</v>
      </c>
      <c r="H4" s="7" t="s">
        <v>8</v>
      </c>
      <c r="I4" s="16"/>
      <c r="J4" s="16"/>
      <c r="K4" s="16"/>
      <c r="L4" s="6" t="s">
        <v>80</v>
      </c>
      <c r="M4" s="7" t="s">
        <v>8</v>
      </c>
      <c r="N4" s="16"/>
      <c r="O4" s="16"/>
      <c r="P4" s="16"/>
      <c r="Q4" s="7" t="s">
        <v>8</v>
      </c>
      <c r="R4" s="16"/>
      <c r="S4" s="16"/>
      <c r="T4" s="16"/>
    </row>
    <row r="5" ht="19.5" customHeight="1" spans="1:20">
      <c r="A5" s="8"/>
      <c r="B5" s="8"/>
      <c r="C5" s="8"/>
      <c r="D5" s="8"/>
      <c r="E5" s="8"/>
      <c r="F5" s="8"/>
      <c r="G5" s="8"/>
      <c r="H5" s="9" t="s">
        <v>16</v>
      </c>
      <c r="I5" s="17" t="s">
        <v>17</v>
      </c>
      <c r="J5" s="16"/>
      <c r="K5" s="16"/>
      <c r="L5" s="8"/>
      <c r="M5" s="9" t="s">
        <v>16</v>
      </c>
      <c r="N5" s="17" t="s">
        <v>17</v>
      </c>
      <c r="O5" s="16"/>
      <c r="P5" s="16"/>
      <c r="Q5" s="9" t="s">
        <v>16</v>
      </c>
      <c r="R5" s="17" t="s">
        <v>17</v>
      </c>
      <c r="S5" s="16"/>
      <c r="T5" s="16"/>
    </row>
    <row r="6" ht="19.5" customHeight="1" spans="1:20">
      <c r="A6" s="8"/>
      <c r="B6" s="8"/>
      <c r="C6" s="8"/>
      <c r="D6" s="8"/>
      <c r="E6" s="8"/>
      <c r="F6" s="8"/>
      <c r="G6" s="8"/>
      <c r="H6" s="10"/>
      <c r="I6" s="9" t="s">
        <v>81</v>
      </c>
      <c r="J6" s="10"/>
      <c r="K6" s="10"/>
      <c r="L6" s="8"/>
      <c r="M6" s="10"/>
      <c r="N6" s="9" t="s">
        <v>81</v>
      </c>
      <c r="O6" s="10"/>
      <c r="P6" s="10"/>
      <c r="Q6" s="10"/>
      <c r="R6" s="9" t="s">
        <v>81</v>
      </c>
      <c r="S6" s="10"/>
      <c r="T6" s="10"/>
    </row>
    <row r="7" ht="49.9" customHeight="1" spans="1:20">
      <c r="A7" s="11"/>
      <c r="B7" s="11"/>
      <c r="C7" s="11"/>
      <c r="D7" s="11"/>
      <c r="E7" s="11"/>
      <c r="F7" s="11"/>
      <c r="G7" s="11"/>
      <c r="H7" s="10"/>
      <c r="I7" s="9" t="s">
        <v>25</v>
      </c>
      <c r="J7" s="9" t="s">
        <v>26</v>
      </c>
      <c r="K7" s="9" t="s">
        <v>27</v>
      </c>
      <c r="L7" s="11"/>
      <c r="M7" s="10"/>
      <c r="N7" s="9" t="s">
        <v>25</v>
      </c>
      <c r="O7" s="9" t="s">
        <v>26</v>
      </c>
      <c r="P7" s="9" t="s">
        <v>27</v>
      </c>
      <c r="Q7" s="10"/>
      <c r="R7" s="9" t="s">
        <v>25</v>
      </c>
      <c r="S7" s="9" t="s">
        <v>26</v>
      </c>
      <c r="T7" s="9" t="s">
        <v>27</v>
      </c>
    </row>
    <row r="8" s="1" customFormat="1" ht="24" customHeight="1" spans="1:22">
      <c r="A8" s="17" t="s">
        <v>16</v>
      </c>
      <c r="B8" s="20"/>
      <c r="C8" s="9"/>
      <c r="D8" s="9"/>
      <c r="E8" s="9"/>
      <c r="F8" s="9"/>
      <c r="G8" s="9"/>
      <c r="H8" s="12">
        <f>I8+J8+K8</f>
        <v>4379</v>
      </c>
      <c r="I8" s="12">
        <f t="shared" ref="I8:K8" si="0">I9+I10+I11+I12+I13+I14+I15+I16+I17+I18+I19+I20+I21+I22+I23+I24</f>
        <v>2453</v>
      </c>
      <c r="J8" s="12">
        <f t="shared" si="0"/>
        <v>1926</v>
      </c>
      <c r="K8" s="12">
        <f t="shared" si="0"/>
        <v>0</v>
      </c>
      <c r="L8" s="12"/>
      <c r="M8" s="12">
        <f>N8+O8+P8</f>
        <v>0</v>
      </c>
      <c r="N8" s="12">
        <f t="shared" ref="N8:P8" si="1">N9+N10+N11+N12+N13+N14+N15+N16+N17+N18+N19+N20+N21+N22+N23+N24</f>
        <v>0</v>
      </c>
      <c r="O8" s="12">
        <f t="shared" si="1"/>
        <v>0</v>
      </c>
      <c r="P8" s="12">
        <f t="shared" si="1"/>
        <v>0</v>
      </c>
      <c r="Q8" s="12">
        <f>R8+S8+T8</f>
        <v>4379</v>
      </c>
      <c r="R8" s="12">
        <f t="shared" ref="R8:T8" si="2">R9+R10+R11+R12+R13+R14+R15+R16+R17+R18+R19+R20+R21+R22+R23+R24</f>
        <v>2453</v>
      </c>
      <c r="S8" s="12">
        <f t="shared" si="2"/>
        <v>1926</v>
      </c>
      <c r="T8" s="12">
        <f t="shared" si="2"/>
        <v>0</v>
      </c>
      <c r="U8" s="31">
        <v>1926</v>
      </c>
      <c r="V8" s="32">
        <f>U8-S8</f>
        <v>0</v>
      </c>
    </row>
    <row r="9" ht="24" customHeight="1" spans="1:20">
      <c r="A9" s="13">
        <v>13</v>
      </c>
      <c r="B9" s="13" t="s">
        <v>372</v>
      </c>
      <c r="C9" s="13" t="s">
        <v>117</v>
      </c>
      <c r="D9" s="13"/>
      <c r="E9" s="13"/>
      <c r="F9" s="13" t="s">
        <v>355</v>
      </c>
      <c r="G9" s="13" t="s">
        <v>494</v>
      </c>
      <c r="H9" s="14">
        <f t="shared" ref="H9:H15" si="3">I9+J9+K9</f>
        <v>11</v>
      </c>
      <c r="I9" s="14"/>
      <c r="J9" s="14">
        <v>11</v>
      </c>
      <c r="K9" s="14"/>
      <c r="L9" s="14"/>
      <c r="M9" s="14">
        <f t="shared" ref="M9:M24" si="4">N9+O9+P9</f>
        <v>-3.7989</v>
      </c>
      <c r="N9" s="14"/>
      <c r="O9" s="14">
        <v>-3.7989</v>
      </c>
      <c r="P9" s="14"/>
      <c r="Q9" s="14">
        <f t="shared" ref="Q9:Q24" si="5">R9+S9+T9</f>
        <v>7.2011</v>
      </c>
      <c r="R9" s="14">
        <f>I9+N9</f>
        <v>0</v>
      </c>
      <c r="S9" s="14">
        <f>J9+O9</f>
        <v>7.2011</v>
      </c>
      <c r="T9" s="14">
        <f t="shared" ref="T9" si="6">K9+P9</f>
        <v>0</v>
      </c>
    </row>
    <row r="10" ht="24" customHeight="1" spans="1:20">
      <c r="A10" s="13">
        <v>14</v>
      </c>
      <c r="B10" s="13" t="s">
        <v>373</v>
      </c>
      <c r="C10" s="13" t="s">
        <v>117</v>
      </c>
      <c r="D10" s="13"/>
      <c r="E10" s="13"/>
      <c r="F10" s="13" t="s">
        <v>355</v>
      </c>
      <c r="G10" s="13" t="s">
        <v>494</v>
      </c>
      <c r="H10" s="14">
        <f t="shared" si="3"/>
        <v>50</v>
      </c>
      <c r="I10" s="14"/>
      <c r="J10" s="14">
        <v>50</v>
      </c>
      <c r="K10" s="14"/>
      <c r="L10" s="14" t="s">
        <v>495</v>
      </c>
      <c r="M10" s="14">
        <f t="shared" si="4"/>
        <v>47.7989</v>
      </c>
      <c r="N10" s="14"/>
      <c r="O10" s="14">
        <f>44+3.7989</f>
        <v>47.7989</v>
      </c>
      <c r="P10" s="14"/>
      <c r="Q10" s="14">
        <f t="shared" si="5"/>
        <v>97.7989</v>
      </c>
      <c r="R10" s="14">
        <f t="shared" ref="R10:R24" si="7">I10+N10</f>
        <v>0</v>
      </c>
      <c r="S10" s="14">
        <f t="shared" ref="S10:S24" si="8">J10+O10</f>
        <v>97.7989</v>
      </c>
      <c r="T10" s="14">
        <f t="shared" ref="T10:T24" si="9">K10+P10</f>
        <v>0</v>
      </c>
    </row>
    <row r="11" ht="24" customHeight="1" spans="1:20">
      <c r="A11" s="13">
        <v>15</v>
      </c>
      <c r="B11" s="13" t="s">
        <v>374</v>
      </c>
      <c r="C11" s="13" t="s">
        <v>117</v>
      </c>
      <c r="D11" s="13"/>
      <c r="E11" s="13"/>
      <c r="F11" s="13" t="s">
        <v>355</v>
      </c>
      <c r="G11" s="13" t="s">
        <v>496</v>
      </c>
      <c r="H11" s="14">
        <f t="shared" si="3"/>
        <v>720</v>
      </c>
      <c r="I11" s="14"/>
      <c r="J11" s="14">
        <v>720</v>
      </c>
      <c r="K11" s="14"/>
      <c r="L11" s="14"/>
      <c r="M11" s="14">
        <f t="shared" si="4"/>
        <v>0</v>
      </c>
      <c r="N11" s="14"/>
      <c r="O11" s="14"/>
      <c r="P11" s="14"/>
      <c r="Q11" s="14">
        <f t="shared" si="5"/>
        <v>720</v>
      </c>
      <c r="R11" s="14">
        <f t="shared" si="7"/>
        <v>0</v>
      </c>
      <c r="S11" s="14">
        <f t="shared" si="8"/>
        <v>720</v>
      </c>
      <c r="T11" s="14">
        <f t="shared" si="9"/>
        <v>0</v>
      </c>
    </row>
    <row r="12" ht="24" customHeight="1" spans="1:20">
      <c r="A12" s="13">
        <v>16</v>
      </c>
      <c r="B12" s="13" t="s">
        <v>375</v>
      </c>
      <c r="C12" s="13" t="s">
        <v>117</v>
      </c>
      <c r="D12" s="13"/>
      <c r="E12" s="13"/>
      <c r="F12" s="13" t="s">
        <v>355</v>
      </c>
      <c r="G12" s="13" t="s">
        <v>494</v>
      </c>
      <c r="H12" s="14">
        <f t="shared" si="3"/>
        <v>1059</v>
      </c>
      <c r="I12" s="14">
        <v>964</v>
      </c>
      <c r="J12" s="14">
        <v>95</v>
      </c>
      <c r="K12" s="14"/>
      <c r="L12" s="14"/>
      <c r="M12" s="14">
        <f t="shared" si="4"/>
        <v>0</v>
      </c>
      <c r="N12" s="14"/>
      <c r="O12" s="14"/>
      <c r="P12" s="14"/>
      <c r="Q12" s="14">
        <f t="shared" si="5"/>
        <v>1059</v>
      </c>
      <c r="R12" s="14">
        <f t="shared" si="7"/>
        <v>964</v>
      </c>
      <c r="S12" s="14">
        <f t="shared" si="8"/>
        <v>95</v>
      </c>
      <c r="T12" s="14">
        <f t="shared" si="9"/>
        <v>0</v>
      </c>
    </row>
    <row r="13" ht="24" customHeight="1" spans="1:20">
      <c r="A13" s="13">
        <v>17</v>
      </c>
      <c r="B13" s="13" t="s">
        <v>376</v>
      </c>
      <c r="C13" s="13" t="s">
        <v>117</v>
      </c>
      <c r="D13" s="13"/>
      <c r="E13" s="13"/>
      <c r="F13" s="13" t="s">
        <v>355</v>
      </c>
      <c r="G13" s="13" t="s">
        <v>494</v>
      </c>
      <c r="H13" s="14">
        <f t="shared" si="3"/>
        <v>50</v>
      </c>
      <c r="I13" s="14"/>
      <c r="J13" s="14">
        <v>50</v>
      </c>
      <c r="K13" s="14"/>
      <c r="L13" s="14"/>
      <c r="M13" s="14">
        <f t="shared" si="4"/>
        <v>0</v>
      </c>
      <c r="N13" s="14"/>
      <c r="O13" s="14"/>
      <c r="P13" s="14"/>
      <c r="Q13" s="14">
        <f t="shared" si="5"/>
        <v>50</v>
      </c>
      <c r="R13" s="14">
        <f t="shared" si="7"/>
        <v>0</v>
      </c>
      <c r="S13" s="14">
        <f t="shared" si="8"/>
        <v>50</v>
      </c>
      <c r="T13" s="14">
        <f t="shared" si="9"/>
        <v>0</v>
      </c>
    </row>
    <row r="14" ht="24" customHeight="1" spans="1:20">
      <c r="A14" s="13">
        <v>18</v>
      </c>
      <c r="B14" s="13" t="s">
        <v>377</v>
      </c>
      <c r="C14" s="13" t="s">
        <v>117</v>
      </c>
      <c r="D14" s="13"/>
      <c r="E14" s="13"/>
      <c r="F14" s="13" t="s">
        <v>355</v>
      </c>
      <c r="G14" s="13" t="s">
        <v>494</v>
      </c>
      <c r="H14" s="14">
        <f t="shared" si="3"/>
        <v>1000</v>
      </c>
      <c r="I14" s="14">
        <v>756</v>
      </c>
      <c r="J14" s="14">
        <v>244</v>
      </c>
      <c r="K14" s="14"/>
      <c r="L14" s="14" t="s">
        <v>497</v>
      </c>
      <c r="M14" s="14">
        <f t="shared" si="4"/>
        <v>-244</v>
      </c>
      <c r="N14" s="14"/>
      <c r="O14" s="14">
        <f>-44+-200</f>
        <v>-244</v>
      </c>
      <c r="P14" s="14"/>
      <c r="Q14" s="14">
        <f t="shared" si="5"/>
        <v>756</v>
      </c>
      <c r="R14" s="14">
        <f t="shared" si="7"/>
        <v>756</v>
      </c>
      <c r="S14" s="14">
        <f t="shared" si="8"/>
        <v>0</v>
      </c>
      <c r="T14" s="14">
        <f t="shared" si="9"/>
        <v>0</v>
      </c>
    </row>
    <row r="15" ht="45.75" customHeight="1" spans="1:20">
      <c r="A15" s="13">
        <v>19</v>
      </c>
      <c r="B15" s="13" t="s">
        <v>120</v>
      </c>
      <c r="C15" s="13" t="s">
        <v>117</v>
      </c>
      <c r="D15" s="13"/>
      <c r="E15" s="13"/>
      <c r="F15" s="13" t="s">
        <v>364</v>
      </c>
      <c r="G15" s="13" t="s">
        <v>498</v>
      </c>
      <c r="H15" s="14">
        <f t="shared" si="3"/>
        <v>140</v>
      </c>
      <c r="I15" s="14">
        <v>55</v>
      </c>
      <c r="J15" s="14">
        <v>85</v>
      </c>
      <c r="K15" s="14"/>
      <c r="L15" s="14" t="s">
        <v>499</v>
      </c>
      <c r="M15" s="14">
        <f t="shared" si="4"/>
        <v>200</v>
      </c>
      <c r="N15" s="14"/>
      <c r="O15" s="14">
        <v>200</v>
      </c>
      <c r="P15" s="14"/>
      <c r="Q15" s="14">
        <f t="shared" si="5"/>
        <v>340</v>
      </c>
      <c r="R15" s="14">
        <f t="shared" si="7"/>
        <v>55</v>
      </c>
      <c r="S15" s="14">
        <f t="shared" si="8"/>
        <v>285</v>
      </c>
      <c r="T15" s="14">
        <f t="shared" si="9"/>
        <v>0</v>
      </c>
    </row>
    <row r="16" ht="33.75" customHeight="1" spans="1:20">
      <c r="A16" s="13">
        <v>1</v>
      </c>
      <c r="B16" s="13" t="s">
        <v>393</v>
      </c>
      <c r="C16" s="13" t="s">
        <v>117</v>
      </c>
      <c r="D16" s="13"/>
      <c r="E16" s="13"/>
      <c r="F16" s="13" t="s">
        <v>429</v>
      </c>
      <c r="G16" s="13" t="s">
        <v>500</v>
      </c>
      <c r="H16" s="14">
        <f t="shared" ref="H16" si="10">I16+J16+K16</f>
        <v>297.1</v>
      </c>
      <c r="I16" s="14">
        <v>146.6</v>
      </c>
      <c r="J16" s="14">
        <f>90.5+60</f>
        <v>150.5</v>
      </c>
      <c r="K16" s="14"/>
      <c r="L16" s="14"/>
      <c r="M16" s="14">
        <f t="shared" si="4"/>
        <v>0</v>
      </c>
      <c r="N16" s="14"/>
      <c r="O16" s="14"/>
      <c r="P16" s="14"/>
      <c r="Q16" s="14">
        <f t="shared" si="5"/>
        <v>297.1</v>
      </c>
      <c r="R16" s="14">
        <f t="shared" si="7"/>
        <v>146.6</v>
      </c>
      <c r="S16" s="14">
        <f t="shared" si="8"/>
        <v>150.5</v>
      </c>
      <c r="T16" s="14">
        <f t="shared" si="9"/>
        <v>0</v>
      </c>
    </row>
    <row r="17" ht="24" customHeight="1" spans="1:22">
      <c r="A17" s="13">
        <v>12</v>
      </c>
      <c r="B17" s="13" t="s">
        <v>407</v>
      </c>
      <c r="C17" s="13" t="s">
        <v>117</v>
      </c>
      <c r="D17" s="13"/>
      <c r="E17" s="13"/>
      <c r="F17" s="13" t="s">
        <v>355</v>
      </c>
      <c r="G17" s="13" t="s">
        <v>501</v>
      </c>
      <c r="H17" s="14">
        <f t="shared" ref="H17:H24" si="11">I17+J17+K17</f>
        <v>55.9</v>
      </c>
      <c r="I17" s="14">
        <v>55.9</v>
      </c>
      <c r="J17" s="14"/>
      <c r="K17" s="14"/>
      <c r="L17" s="14" t="s">
        <v>499</v>
      </c>
      <c r="M17" s="14">
        <f t="shared" si="4"/>
        <v>-6.499676</v>
      </c>
      <c r="N17" s="14">
        <v>-6.499676</v>
      </c>
      <c r="O17" s="14"/>
      <c r="P17" s="14"/>
      <c r="Q17" s="14">
        <f t="shared" si="5"/>
        <v>49.400324</v>
      </c>
      <c r="R17" s="14">
        <f t="shared" si="7"/>
        <v>49.400324</v>
      </c>
      <c r="S17" s="14">
        <f t="shared" si="8"/>
        <v>0</v>
      </c>
      <c r="T17" s="14">
        <f t="shared" si="9"/>
        <v>0</v>
      </c>
      <c r="U17">
        <v>49.400324</v>
      </c>
      <c r="V17">
        <v>0</v>
      </c>
    </row>
    <row r="18" ht="24" customHeight="1" spans="1:22">
      <c r="A18" s="13">
        <v>13</v>
      </c>
      <c r="B18" s="13" t="s">
        <v>408</v>
      </c>
      <c r="C18" s="13" t="s">
        <v>117</v>
      </c>
      <c r="D18" s="13"/>
      <c r="E18" s="13"/>
      <c r="F18" s="13" t="s">
        <v>355</v>
      </c>
      <c r="G18" s="13" t="s">
        <v>501</v>
      </c>
      <c r="H18" s="14">
        <f t="shared" si="11"/>
        <v>47.7</v>
      </c>
      <c r="I18" s="14">
        <v>47.7</v>
      </c>
      <c r="J18" s="14"/>
      <c r="K18" s="14"/>
      <c r="L18" s="14" t="s">
        <v>499</v>
      </c>
      <c r="M18" s="14">
        <f t="shared" si="4"/>
        <v>-23.495302</v>
      </c>
      <c r="N18" s="14">
        <v>-23.495302</v>
      </c>
      <c r="O18" s="14"/>
      <c r="P18" s="14"/>
      <c r="Q18" s="14">
        <f t="shared" si="5"/>
        <v>24.204698</v>
      </c>
      <c r="R18" s="14">
        <f t="shared" si="7"/>
        <v>24.204698</v>
      </c>
      <c r="S18" s="14">
        <f t="shared" si="8"/>
        <v>0</v>
      </c>
      <c r="T18" s="14">
        <f t="shared" si="9"/>
        <v>0</v>
      </c>
      <c r="U18">
        <v>24.204698</v>
      </c>
      <c r="V18">
        <v>0</v>
      </c>
    </row>
    <row r="19" ht="24" customHeight="1" spans="1:22">
      <c r="A19" s="13">
        <v>14</v>
      </c>
      <c r="B19" s="13" t="s">
        <v>409</v>
      </c>
      <c r="C19" s="13" t="s">
        <v>117</v>
      </c>
      <c r="D19" s="13"/>
      <c r="E19" s="13"/>
      <c r="F19" s="13" t="s">
        <v>355</v>
      </c>
      <c r="G19" s="13" t="s">
        <v>501</v>
      </c>
      <c r="H19" s="14">
        <f t="shared" si="11"/>
        <v>72.8</v>
      </c>
      <c r="I19" s="14">
        <v>72.8</v>
      </c>
      <c r="J19" s="14"/>
      <c r="K19" s="14"/>
      <c r="L19" s="14" t="s">
        <v>499</v>
      </c>
      <c r="M19" s="14">
        <f t="shared" si="4"/>
        <v>-2.555235</v>
      </c>
      <c r="N19" s="14">
        <v>-2.555235</v>
      </c>
      <c r="O19" s="14"/>
      <c r="P19" s="14"/>
      <c r="Q19" s="14">
        <f t="shared" si="5"/>
        <v>70.244765</v>
      </c>
      <c r="R19" s="14">
        <f t="shared" si="7"/>
        <v>70.244765</v>
      </c>
      <c r="S19" s="14">
        <f t="shared" si="8"/>
        <v>0</v>
      </c>
      <c r="T19" s="14">
        <f t="shared" si="9"/>
        <v>0</v>
      </c>
      <c r="U19">
        <v>70.244765</v>
      </c>
      <c r="V19">
        <v>0</v>
      </c>
    </row>
    <row r="20" ht="24" customHeight="1" spans="1:22">
      <c r="A20" s="13">
        <v>15</v>
      </c>
      <c r="B20" s="13" t="s">
        <v>186</v>
      </c>
      <c r="C20" s="13" t="s">
        <v>117</v>
      </c>
      <c r="D20" s="13"/>
      <c r="E20" s="13"/>
      <c r="F20" s="13" t="s">
        <v>355</v>
      </c>
      <c r="G20" s="13" t="s">
        <v>501</v>
      </c>
      <c r="H20" s="14">
        <f t="shared" si="11"/>
        <v>113.8</v>
      </c>
      <c r="I20" s="14">
        <v>55</v>
      </c>
      <c r="J20" s="14">
        <v>58.8</v>
      </c>
      <c r="K20" s="14"/>
      <c r="L20" s="14" t="s">
        <v>499</v>
      </c>
      <c r="M20" s="14">
        <f t="shared" si="4"/>
        <v>-69.917462</v>
      </c>
      <c r="N20" s="14">
        <v>-11.117462</v>
      </c>
      <c r="O20" s="14">
        <v>-58.8</v>
      </c>
      <c r="P20" s="14"/>
      <c r="Q20" s="14">
        <f t="shared" si="5"/>
        <v>43.882538</v>
      </c>
      <c r="R20" s="14">
        <f t="shared" si="7"/>
        <v>43.882538</v>
      </c>
      <c r="S20" s="14">
        <f t="shared" si="8"/>
        <v>0</v>
      </c>
      <c r="T20" s="14">
        <f t="shared" si="9"/>
        <v>0</v>
      </c>
      <c r="U20">
        <v>43.882538</v>
      </c>
      <c r="V20">
        <v>0</v>
      </c>
    </row>
    <row r="21" ht="24" customHeight="1" spans="1:22">
      <c r="A21" s="13">
        <v>16</v>
      </c>
      <c r="B21" s="13" t="s">
        <v>188</v>
      </c>
      <c r="C21" s="13" t="s">
        <v>117</v>
      </c>
      <c r="D21" s="13"/>
      <c r="E21" s="13"/>
      <c r="F21" s="13" t="s">
        <v>355</v>
      </c>
      <c r="G21" s="13" t="s">
        <v>501</v>
      </c>
      <c r="H21" s="14">
        <f t="shared" si="11"/>
        <v>81.7</v>
      </c>
      <c r="I21" s="14"/>
      <c r="J21" s="14">
        <v>81.7</v>
      </c>
      <c r="K21" s="14"/>
      <c r="L21" s="14" t="s">
        <v>499</v>
      </c>
      <c r="M21" s="14">
        <f t="shared" si="4"/>
        <v>-10.698167</v>
      </c>
      <c r="N21" s="14">
        <v>36.16528</v>
      </c>
      <c r="O21" s="14">
        <f>-36.16528+-10.698167</f>
        <v>-46.863447</v>
      </c>
      <c r="P21" s="14"/>
      <c r="Q21" s="14">
        <f t="shared" si="5"/>
        <v>71.001833</v>
      </c>
      <c r="R21" s="14">
        <f t="shared" si="7"/>
        <v>36.16528</v>
      </c>
      <c r="S21" s="14">
        <f t="shared" si="8"/>
        <v>34.836553</v>
      </c>
      <c r="T21" s="14">
        <f t="shared" si="9"/>
        <v>0</v>
      </c>
      <c r="U21">
        <v>36.16528</v>
      </c>
      <c r="V21">
        <v>34.836553</v>
      </c>
    </row>
    <row r="22" ht="24" customHeight="1" spans="1:22">
      <c r="A22" s="13">
        <v>17</v>
      </c>
      <c r="B22" s="13" t="s">
        <v>410</v>
      </c>
      <c r="C22" s="13" t="s">
        <v>117</v>
      </c>
      <c r="D22" s="13"/>
      <c r="E22" s="13"/>
      <c r="F22" s="13" t="s">
        <v>355</v>
      </c>
      <c r="G22" s="13" t="s">
        <v>501</v>
      </c>
      <c r="H22" s="14">
        <f t="shared" si="11"/>
        <v>680</v>
      </c>
      <c r="I22" s="14">
        <v>300</v>
      </c>
      <c r="J22" s="14">
        <v>380</v>
      </c>
      <c r="K22" s="14"/>
      <c r="L22" s="14" t="s">
        <v>499</v>
      </c>
      <c r="M22" s="14">
        <f t="shared" si="4"/>
        <v>-140</v>
      </c>
      <c r="N22" s="14">
        <v>-36.16528</v>
      </c>
      <c r="O22" s="14">
        <f>-140+36.16528</f>
        <v>-103.83472</v>
      </c>
      <c r="P22" s="14"/>
      <c r="Q22" s="14">
        <f t="shared" si="5"/>
        <v>540</v>
      </c>
      <c r="R22" s="14">
        <f t="shared" si="7"/>
        <v>263.83472</v>
      </c>
      <c r="S22" s="14">
        <f t="shared" si="8"/>
        <v>276.16528</v>
      </c>
      <c r="T22" s="14">
        <f t="shared" si="9"/>
        <v>0</v>
      </c>
      <c r="U22">
        <v>263.83472</v>
      </c>
      <c r="V22">
        <v>276.16528</v>
      </c>
    </row>
    <row r="23" ht="24" customHeight="1" spans="1:22">
      <c r="A23" s="13">
        <v>18</v>
      </c>
      <c r="B23" s="13" t="s">
        <v>411</v>
      </c>
      <c r="C23" s="13" t="s">
        <v>117</v>
      </c>
      <c r="D23" s="13"/>
      <c r="E23" s="13"/>
      <c r="F23" s="13" t="s">
        <v>355</v>
      </c>
      <c r="G23" s="13" t="s">
        <v>499</v>
      </c>
      <c r="H23" s="14">
        <f t="shared" si="11"/>
        <v>0</v>
      </c>
      <c r="I23" s="14"/>
      <c r="J23" s="14"/>
      <c r="K23" s="14"/>
      <c r="L23" s="14" t="s">
        <v>499</v>
      </c>
      <c r="M23" s="14">
        <f t="shared" si="4"/>
        <v>140</v>
      </c>
      <c r="N23" s="14"/>
      <c r="O23" s="14">
        <v>140</v>
      </c>
      <c r="P23" s="14"/>
      <c r="Q23" s="14">
        <f t="shared" si="5"/>
        <v>140</v>
      </c>
      <c r="R23" s="14">
        <f t="shared" si="7"/>
        <v>0</v>
      </c>
      <c r="S23" s="14">
        <f t="shared" si="8"/>
        <v>140</v>
      </c>
      <c r="T23" s="14">
        <f t="shared" si="9"/>
        <v>0</v>
      </c>
      <c r="U23">
        <v>0</v>
      </c>
      <c r="V23">
        <v>140</v>
      </c>
    </row>
    <row r="24" ht="24" customHeight="1" spans="1:22">
      <c r="A24" s="13">
        <v>19</v>
      </c>
      <c r="B24" s="13" t="s">
        <v>184</v>
      </c>
      <c r="C24" s="13" t="s">
        <v>117</v>
      </c>
      <c r="D24" s="13"/>
      <c r="E24" s="13"/>
      <c r="F24" s="13" t="s">
        <v>355</v>
      </c>
      <c r="G24" s="13" t="s">
        <v>499</v>
      </c>
      <c r="H24" s="14">
        <f t="shared" si="11"/>
        <v>0</v>
      </c>
      <c r="I24" s="14"/>
      <c r="J24" s="14"/>
      <c r="K24" s="14"/>
      <c r="L24" s="14" t="s">
        <v>499</v>
      </c>
      <c r="M24" s="14">
        <f t="shared" si="4"/>
        <v>113.165842</v>
      </c>
      <c r="N24" s="14">
        <f>-N17+-N18+-N19+-N20</f>
        <v>43.667675</v>
      </c>
      <c r="O24" s="14">
        <f>58.8+10.698167</f>
        <v>69.498167</v>
      </c>
      <c r="P24" s="14"/>
      <c r="Q24" s="14">
        <f t="shared" si="5"/>
        <v>113.165842</v>
      </c>
      <c r="R24" s="14">
        <f t="shared" si="7"/>
        <v>43.667675</v>
      </c>
      <c r="S24" s="14">
        <f t="shared" si="8"/>
        <v>69.498167</v>
      </c>
      <c r="T24" s="14">
        <f t="shared" si="9"/>
        <v>0</v>
      </c>
      <c r="U24">
        <v>43.667675</v>
      </c>
      <c r="V24">
        <v>69.498167</v>
      </c>
    </row>
    <row r="25" spans="1:12">
      <c r="A25" s="15" t="s">
        <v>191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1:12">
      <c r="K28" s="18"/>
      <c r="L28" s="18"/>
    </row>
  </sheetData>
  <mergeCells count="25">
    <mergeCell ref="A1:C1"/>
    <mergeCell ref="A2:K2"/>
    <mergeCell ref="A3:B3"/>
    <mergeCell ref="H4:K4"/>
    <mergeCell ref="M4:P4"/>
    <mergeCell ref="Q4:T4"/>
    <mergeCell ref="I5:K5"/>
    <mergeCell ref="N5:P5"/>
    <mergeCell ref="R5:T5"/>
    <mergeCell ref="I6:K6"/>
    <mergeCell ref="N6:P6"/>
    <mergeCell ref="R6:T6"/>
    <mergeCell ref="A8:B8"/>
    <mergeCell ref="A4:A7"/>
    <mergeCell ref="B4:B7"/>
    <mergeCell ref="C4:C7"/>
    <mergeCell ref="D4:D7"/>
    <mergeCell ref="E4:E7"/>
    <mergeCell ref="F4:F7"/>
    <mergeCell ref="G4:G7"/>
    <mergeCell ref="H5:H7"/>
    <mergeCell ref="L4:L7"/>
    <mergeCell ref="M5:M7"/>
    <mergeCell ref="Q5:Q7"/>
    <mergeCell ref="A25:K27"/>
  </mergeCells>
  <pageMargins left="0.707638888888889" right="0.707638888888889" top="0.747916666666667" bottom="0.747916666666667" header="0.313888888888889" footer="0.313888888888889"/>
  <pageSetup paperSize="9" scale="6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AG46"/>
  <sheetViews>
    <sheetView zoomScale="85" zoomScaleNormal="85" workbookViewId="0">
      <selection activeCell="F19" sqref="F19"/>
    </sheetView>
  </sheetViews>
  <sheetFormatPr defaultColWidth="9" defaultRowHeight="13.5"/>
  <cols>
    <col min="1" max="1" width="4.25833333333333" customWidth="1"/>
    <col min="2" max="2" width="25.8833333333333" customWidth="1"/>
    <col min="3" max="3" width="14.3833333333333" hidden="1" customWidth="1"/>
    <col min="4" max="5" width="19" hidden="1" customWidth="1"/>
    <col min="6" max="7" width="14.7583333333333" customWidth="1"/>
    <col min="8" max="26" width="12.3833333333333" customWidth="1"/>
    <col min="27" max="27" width="18.3833333333333" customWidth="1"/>
    <col min="28" max="30" width="14.7583333333333" customWidth="1"/>
  </cols>
  <sheetData>
    <row r="1" ht="26.25" customHeight="1" spans="1:8">
      <c r="A1" s="2" t="s">
        <v>77</v>
      </c>
      <c r="B1" s="2"/>
      <c r="C1" s="2"/>
      <c r="H1" s="23"/>
    </row>
    <row r="2" ht="26.25" customHeight="1" spans="1:30">
      <c r="A2" s="3" t="s">
        <v>353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26.25" customHeight="1" spans="1:26">
      <c r="A3" s="4" t="s">
        <v>58</v>
      </c>
      <c r="B3" s="4"/>
      <c r="C3" s="5"/>
      <c r="D3" s="5" t="s">
        <v>59</v>
      </c>
      <c r="E3" s="5"/>
      <c r="F3" s="3"/>
      <c r="G3" s="3"/>
      <c r="H3" s="24" t="s">
        <v>502</v>
      </c>
      <c r="I3" s="24"/>
      <c r="J3" s="24"/>
      <c r="K3" s="24"/>
      <c r="L3" s="24" t="s">
        <v>503</v>
      </c>
      <c r="M3" s="24"/>
      <c r="N3" s="24"/>
      <c r="O3" s="24"/>
      <c r="P3" s="24"/>
      <c r="Q3" s="24"/>
      <c r="R3" s="24"/>
      <c r="S3" s="24"/>
      <c r="T3" s="24"/>
      <c r="U3" s="24"/>
      <c r="V3" s="29"/>
      <c r="W3" s="29"/>
      <c r="X3" s="29"/>
      <c r="Y3" s="29"/>
      <c r="Z3" s="29"/>
    </row>
    <row r="4" ht="19.5" customHeight="1" spans="1:30">
      <c r="A4" s="6" t="s">
        <v>3</v>
      </c>
      <c r="B4" s="6" t="s">
        <v>4</v>
      </c>
      <c r="C4" s="6" t="s">
        <v>5</v>
      </c>
      <c r="D4" s="6" t="s">
        <v>6</v>
      </c>
      <c r="E4" s="6" t="s">
        <v>79</v>
      </c>
      <c r="F4" s="6" t="s">
        <v>7</v>
      </c>
      <c r="G4" s="6" t="s">
        <v>504</v>
      </c>
      <c r="H4" s="7" t="s">
        <v>8</v>
      </c>
      <c r="I4" s="16"/>
      <c r="J4" s="16"/>
      <c r="K4" s="16"/>
      <c r="L4" s="6" t="s">
        <v>505</v>
      </c>
      <c r="M4" s="7" t="s">
        <v>506</v>
      </c>
      <c r="N4" s="16"/>
      <c r="O4" s="16"/>
      <c r="P4" s="16"/>
      <c r="Q4" s="6" t="s">
        <v>505</v>
      </c>
      <c r="R4" s="7" t="s">
        <v>8</v>
      </c>
      <c r="S4" s="16"/>
      <c r="T4" s="16"/>
      <c r="U4" s="16"/>
      <c r="V4" s="6" t="s">
        <v>505</v>
      </c>
      <c r="W4" s="7" t="s">
        <v>8</v>
      </c>
      <c r="X4" s="16"/>
      <c r="Y4" s="16"/>
      <c r="Z4" s="16"/>
      <c r="AA4" s="7" t="s">
        <v>8</v>
      </c>
      <c r="AB4" s="16"/>
      <c r="AC4" s="16"/>
      <c r="AD4" s="16"/>
    </row>
    <row r="5" ht="19.5" customHeight="1" spans="1:30">
      <c r="A5" s="8"/>
      <c r="B5" s="8"/>
      <c r="C5" s="8"/>
      <c r="D5" s="8"/>
      <c r="E5" s="8"/>
      <c r="F5" s="8"/>
      <c r="G5" s="8"/>
      <c r="H5" s="9" t="s">
        <v>16</v>
      </c>
      <c r="I5" s="17" t="s">
        <v>17</v>
      </c>
      <c r="J5" s="16"/>
      <c r="K5" s="16"/>
      <c r="L5" s="8"/>
      <c r="M5" s="9" t="s">
        <v>16</v>
      </c>
      <c r="N5" s="17" t="s">
        <v>17</v>
      </c>
      <c r="O5" s="16"/>
      <c r="P5" s="16"/>
      <c r="Q5" s="8"/>
      <c r="R5" s="9" t="s">
        <v>16</v>
      </c>
      <c r="S5" s="17" t="s">
        <v>17</v>
      </c>
      <c r="T5" s="16"/>
      <c r="U5" s="16"/>
      <c r="V5" s="8"/>
      <c r="W5" s="9" t="s">
        <v>16</v>
      </c>
      <c r="X5" s="17" t="s">
        <v>17</v>
      </c>
      <c r="Y5" s="16"/>
      <c r="Z5" s="16"/>
      <c r="AA5" s="9" t="s">
        <v>16</v>
      </c>
      <c r="AB5" s="17" t="s">
        <v>17</v>
      </c>
      <c r="AC5" s="16"/>
      <c r="AD5" s="16"/>
    </row>
    <row r="6" ht="19.5" customHeight="1" spans="1:30">
      <c r="A6" s="8"/>
      <c r="B6" s="8"/>
      <c r="C6" s="8"/>
      <c r="D6" s="8"/>
      <c r="E6" s="8"/>
      <c r="F6" s="8"/>
      <c r="G6" s="8"/>
      <c r="H6" s="10"/>
      <c r="I6" s="9" t="s">
        <v>81</v>
      </c>
      <c r="J6" s="10"/>
      <c r="K6" s="10"/>
      <c r="L6" s="8"/>
      <c r="M6" s="10"/>
      <c r="N6" s="9" t="s">
        <v>81</v>
      </c>
      <c r="O6" s="10"/>
      <c r="P6" s="10"/>
      <c r="Q6" s="8"/>
      <c r="R6" s="10"/>
      <c r="S6" s="9" t="s">
        <v>81</v>
      </c>
      <c r="T6" s="10"/>
      <c r="U6" s="10"/>
      <c r="V6" s="8"/>
      <c r="W6" s="10"/>
      <c r="X6" s="9" t="s">
        <v>81</v>
      </c>
      <c r="Y6" s="10"/>
      <c r="Z6" s="10"/>
      <c r="AA6" s="10"/>
      <c r="AB6" s="9" t="s">
        <v>81</v>
      </c>
      <c r="AC6" s="10"/>
      <c r="AD6" s="10"/>
    </row>
    <row r="7" ht="49.9" customHeight="1" spans="1:30">
      <c r="A7" s="11"/>
      <c r="B7" s="11"/>
      <c r="C7" s="11"/>
      <c r="D7" s="11"/>
      <c r="E7" s="11"/>
      <c r="F7" s="11"/>
      <c r="G7" s="11"/>
      <c r="H7" s="10"/>
      <c r="I7" s="9" t="s">
        <v>25</v>
      </c>
      <c r="J7" s="9" t="s">
        <v>26</v>
      </c>
      <c r="K7" s="9" t="s">
        <v>27</v>
      </c>
      <c r="L7" s="11"/>
      <c r="M7" s="10"/>
      <c r="N7" s="9" t="s">
        <v>25</v>
      </c>
      <c r="O7" s="9" t="s">
        <v>26</v>
      </c>
      <c r="P7" s="9" t="s">
        <v>27</v>
      </c>
      <c r="Q7" s="11"/>
      <c r="R7" s="10"/>
      <c r="S7" s="9" t="s">
        <v>25</v>
      </c>
      <c r="T7" s="9" t="s">
        <v>26</v>
      </c>
      <c r="U7" s="9" t="s">
        <v>27</v>
      </c>
      <c r="V7" s="11"/>
      <c r="W7" s="10"/>
      <c r="X7" s="9" t="s">
        <v>25</v>
      </c>
      <c r="Y7" s="9" t="s">
        <v>26</v>
      </c>
      <c r="Z7" s="9" t="s">
        <v>27</v>
      </c>
      <c r="AA7" s="10"/>
      <c r="AB7" s="9" t="s">
        <v>25</v>
      </c>
      <c r="AC7" s="9" t="s">
        <v>26</v>
      </c>
      <c r="AD7" s="9" t="s">
        <v>27</v>
      </c>
    </row>
    <row r="8" s="1" customFormat="1" ht="24" customHeight="1" spans="1:30">
      <c r="A8" s="17" t="s">
        <v>16</v>
      </c>
      <c r="B8" s="20"/>
      <c r="C8" s="9"/>
      <c r="D8" s="9"/>
      <c r="E8" s="9"/>
      <c r="F8" s="9"/>
      <c r="G8" s="9"/>
      <c r="H8" s="12">
        <f>I8+J8+K8</f>
        <v>4677</v>
      </c>
      <c r="I8" s="12">
        <f t="shared" ref="I8:K8" si="0">I9+I20+I22</f>
        <v>2025</v>
      </c>
      <c r="J8" s="12">
        <f t="shared" si="0"/>
        <v>952</v>
      </c>
      <c r="K8" s="12">
        <f t="shared" si="0"/>
        <v>1700</v>
      </c>
      <c r="L8" s="9"/>
      <c r="M8" s="12">
        <f>N8+O8+P8</f>
        <v>239</v>
      </c>
      <c r="N8" s="12">
        <f t="shared" ref="N8:P8" si="1">N9+N20+N22</f>
        <v>116</v>
      </c>
      <c r="O8" s="12">
        <f t="shared" si="1"/>
        <v>123</v>
      </c>
      <c r="P8" s="12">
        <f t="shared" si="1"/>
        <v>0</v>
      </c>
      <c r="Q8" s="9"/>
      <c r="R8" s="12">
        <f>S8+T8+U8</f>
        <v>0</v>
      </c>
      <c r="S8" s="12">
        <f t="shared" ref="S8:U8" si="2">S9+S20+S22</f>
        <v>0</v>
      </c>
      <c r="T8" s="12">
        <f t="shared" si="2"/>
        <v>0</v>
      </c>
      <c r="U8" s="12">
        <f t="shared" si="2"/>
        <v>0</v>
      </c>
      <c r="V8" s="9"/>
      <c r="W8" s="12">
        <f>X8+Y8+Z8</f>
        <v>0</v>
      </c>
      <c r="X8" s="12">
        <f t="shared" ref="X8:Z8" si="3">X9+X20+X22</f>
        <v>0</v>
      </c>
      <c r="Y8" s="12">
        <f t="shared" si="3"/>
        <v>0</v>
      </c>
      <c r="Z8" s="12">
        <f t="shared" si="3"/>
        <v>0</v>
      </c>
      <c r="AA8" s="12">
        <f>AB8+AC8+AD8</f>
        <v>4677</v>
      </c>
      <c r="AB8" s="12">
        <f t="shared" ref="AB8:AD8" si="4">AB9+AB20+AB22</f>
        <v>2025</v>
      </c>
      <c r="AC8" s="12">
        <f t="shared" si="4"/>
        <v>952</v>
      </c>
      <c r="AD8" s="12">
        <f t="shared" si="4"/>
        <v>1700</v>
      </c>
    </row>
    <row r="9" s="1" customFormat="1" ht="24" customHeight="1" spans="1:30">
      <c r="A9" s="9" t="s">
        <v>28</v>
      </c>
      <c r="B9" s="9" t="s">
        <v>29</v>
      </c>
      <c r="C9" s="9"/>
      <c r="D9" s="9"/>
      <c r="E9" s="9"/>
      <c r="F9" s="9"/>
      <c r="G9" s="9"/>
      <c r="H9" s="12">
        <f>I9+J9+K9</f>
        <v>4677</v>
      </c>
      <c r="I9" s="12">
        <f t="shared" ref="I9:K9" si="5">SUM(I10:I42)</f>
        <v>2025</v>
      </c>
      <c r="J9" s="12">
        <f t="shared" si="5"/>
        <v>952</v>
      </c>
      <c r="K9" s="12">
        <f t="shared" si="5"/>
        <v>1700</v>
      </c>
      <c r="L9" s="9"/>
      <c r="M9" s="12">
        <f>N9+O9+P9</f>
        <v>239</v>
      </c>
      <c r="N9" s="12">
        <f t="shared" ref="N9:P9" si="6">SUM(N10:N42)</f>
        <v>116</v>
      </c>
      <c r="O9" s="12">
        <f t="shared" si="6"/>
        <v>123</v>
      </c>
      <c r="P9" s="12">
        <f t="shared" si="6"/>
        <v>0</v>
      </c>
      <c r="Q9" s="9"/>
      <c r="R9" s="12">
        <f>S9+T9+U9</f>
        <v>0</v>
      </c>
      <c r="S9" s="12">
        <f t="shared" ref="S9:U9" si="7">SUM(S10:S42)</f>
        <v>0</v>
      </c>
      <c r="T9" s="12">
        <f t="shared" si="7"/>
        <v>0</v>
      </c>
      <c r="U9" s="12">
        <f t="shared" si="7"/>
        <v>0</v>
      </c>
      <c r="V9" s="9"/>
      <c r="W9" s="12">
        <f>X9+Y9+Z9</f>
        <v>0</v>
      </c>
      <c r="X9" s="12">
        <f t="shared" ref="X9:Z9" si="8">SUM(X10:X42)</f>
        <v>0</v>
      </c>
      <c r="Y9" s="12">
        <f t="shared" si="8"/>
        <v>0</v>
      </c>
      <c r="Z9" s="12">
        <f t="shared" si="8"/>
        <v>0</v>
      </c>
      <c r="AA9" s="12">
        <f>AB9+AC9+AD9</f>
        <v>4677</v>
      </c>
      <c r="AB9" s="12">
        <f t="shared" ref="AB9:AD9" si="9">SUM(AB10:AB42)</f>
        <v>2025</v>
      </c>
      <c r="AC9" s="12">
        <f t="shared" si="9"/>
        <v>952</v>
      </c>
      <c r="AD9" s="12">
        <f t="shared" si="9"/>
        <v>1700</v>
      </c>
    </row>
    <row r="10" ht="24" customHeight="1" spans="1:33">
      <c r="A10" s="13">
        <v>20</v>
      </c>
      <c r="B10" s="21" t="s">
        <v>378</v>
      </c>
      <c r="C10" s="21" t="s">
        <v>94</v>
      </c>
      <c r="D10" s="13"/>
      <c r="E10" s="13"/>
      <c r="F10" s="13" t="s">
        <v>355</v>
      </c>
      <c r="G10" s="13" t="s">
        <v>379</v>
      </c>
      <c r="H10" s="14">
        <f t="shared" ref="H10:H19" si="10">I10+J10+K10</f>
        <v>176</v>
      </c>
      <c r="I10" s="14"/>
      <c r="J10" s="14"/>
      <c r="K10" s="14">
        <v>176</v>
      </c>
      <c r="L10" s="13"/>
      <c r="M10" s="14">
        <f t="shared" ref="M10:M19" si="11">N10+O10+P10</f>
        <v>0</v>
      </c>
      <c r="N10" s="14"/>
      <c r="O10" s="14"/>
      <c r="P10" s="14"/>
      <c r="Q10" s="13"/>
      <c r="R10" s="14"/>
      <c r="S10" s="14"/>
      <c r="T10" s="14"/>
      <c r="U10" s="14"/>
      <c r="V10" s="13"/>
      <c r="W10" s="14"/>
      <c r="X10" s="14"/>
      <c r="Y10" s="14"/>
      <c r="Z10" s="14"/>
      <c r="AA10" s="13" t="s">
        <v>379</v>
      </c>
      <c r="AB10" s="14">
        <f>I10+N10+S10+X10</f>
        <v>0</v>
      </c>
      <c r="AC10" s="14">
        <f t="shared" ref="AC10" si="12">J10+O10+T10+Y10</f>
        <v>0</v>
      </c>
      <c r="AD10" s="14">
        <f t="shared" ref="AD10" si="13">K10+P10+U10+Z10</f>
        <v>176</v>
      </c>
      <c r="AE10" s="18"/>
      <c r="AF10" s="18"/>
      <c r="AG10" s="18"/>
    </row>
    <row r="11" ht="24" customHeight="1" spans="1:33">
      <c r="A11" s="13">
        <v>21</v>
      </c>
      <c r="B11" s="21" t="s">
        <v>380</v>
      </c>
      <c r="C11" s="21" t="s">
        <v>94</v>
      </c>
      <c r="D11" s="13"/>
      <c r="E11" s="13"/>
      <c r="F11" s="13" t="s">
        <v>355</v>
      </c>
      <c r="G11" s="13" t="s">
        <v>379</v>
      </c>
      <c r="H11" s="14">
        <f t="shared" si="10"/>
        <v>115</v>
      </c>
      <c r="I11" s="14"/>
      <c r="J11" s="14"/>
      <c r="K11" s="14">
        <v>115</v>
      </c>
      <c r="L11" s="13"/>
      <c r="M11" s="14">
        <f t="shared" si="11"/>
        <v>0</v>
      </c>
      <c r="N11" s="14"/>
      <c r="O11" s="14"/>
      <c r="P11" s="14"/>
      <c r="Q11" s="13"/>
      <c r="R11" s="14"/>
      <c r="S11" s="14"/>
      <c r="T11" s="14"/>
      <c r="U11" s="14"/>
      <c r="V11" s="13" t="s">
        <v>507</v>
      </c>
      <c r="W11" s="14"/>
      <c r="X11" s="14"/>
      <c r="Y11" s="14"/>
      <c r="Z11" s="14">
        <v>-29.045744</v>
      </c>
      <c r="AA11" s="13" t="s">
        <v>381</v>
      </c>
      <c r="AB11" s="14">
        <f>I11+N11+S11+X11</f>
        <v>0</v>
      </c>
      <c r="AC11" s="14">
        <f t="shared" ref="AC11:AD11" si="14">J11+O11+T11+Y11</f>
        <v>0</v>
      </c>
      <c r="AD11" s="14">
        <f t="shared" si="14"/>
        <v>85.954256</v>
      </c>
      <c r="AE11" s="18"/>
      <c r="AF11" s="18"/>
      <c r="AG11" s="18"/>
    </row>
    <row r="12" ht="24" customHeight="1" spans="1:33">
      <c r="A12" s="13">
        <v>22</v>
      </c>
      <c r="B12" s="21" t="s">
        <v>382</v>
      </c>
      <c r="C12" s="21" t="s">
        <v>94</v>
      </c>
      <c r="D12" s="13"/>
      <c r="E12" s="13"/>
      <c r="F12" s="13" t="s">
        <v>355</v>
      </c>
      <c r="G12" s="13" t="s">
        <v>379</v>
      </c>
      <c r="H12" s="14">
        <f t="shared" si="10"/>
        <v>312</v>
      </c>
      <c r="I12" s="14">
        <v>119</v>
      </c>
      <c r="J12" s="14"/>
      <c r="K12" s="14">
        <v>193</v>
      </c>
      <c r="L12" s="13"/>
      <c r="M12" s="14">
        <f t="shared" si="11"/>
        <v>0</v>
      </c>
      <c r="N12" s="14"/>
      <c r="O12" s="14"/>
      <c r="P12" s="14"/>
      <c r="Q12" s="13"/>
      <c r="R12" s="14"/>
      <c r="S12" s="14"/>
      <c r="T12" s="14"/>
      <c r="U12" s="14"/>
      <c r="V12" s="13"/>
      <c r="W12" s="14"/>
      <c r="X12" s="14"/>
      <c r="Y12" s="14"/>
      <c r="Z12" s="14"/>
      <c r="AA12" s="13" t="s">
        <v>379</v>
      </c>
      <c r="AB12" s="14">
        <f t="shared" ref="AB12:AB41" si="15">I12+N12+S12+X12</f>
        <v>119</v>
      </c>
      <c r="AC12" s="14">
        <f t="shared" ref="AC12:AC41" si="16">J12+O12+T12+Y12</f>
        <v>0</v>
      </c>
      <c r="AD12" s="14">
        <f t="shared" ref="AD12:AD41" si="17">K12+P12+U12+Z12</f>
        <v>193</v>
      </c>
      <c r="AE12" s="18"/>
      <c r="AF12" s="18"/>
      <c r="AG12" s="18"/>
    </row>
    <row r="13" ht="24" customHeight="1" spans="1:33">
      <c r="A13" s="13">
        <v>23</v>
      </c>
      <c r="B13" s="21" t="s">
        <v>383</v>
      </c>
      <c r="C13" s="21" t="s">
        <v>94</v>
      </c>
      <c r="D13" s="13"/>
      <c r="E13" s="13"/>
      <c r="F13" s="13" t="s">
        <v>355</v>
      </c>
      <c r="G13" s="13" t="s">
        <v>379</v>
      </c>
      <c r="H13" s="14">
        <f t="shared" si="10"/>
        <v>150</v>
      </c>
      <c r="I13" s="14">
        <v>150</v>
      </c>
      <c r="J13" s="14"/>
      <c r="K13" s="14"/>
      <c r="L13" s="13"/>
      <c r="M13" s="14">
        <f t="shared" si="11"/>
        <v>0</v>
      </c>
      <c r="N13" s="14"/>
      <c r="O13" s="14"/>
      <c r="P13" s="14"/>
      <c r="Q13" s="13"/>
      <c r="R13" s="14"/>
      <c r="S13" s="14"/>
      <c r="T13" s="14"/>
      <c r="U13" s="14"/>
      <c r="V13" s="13"/>
      <c r="W13" s="14"/>
      <c r="X13" s="14"/>
      <c r="Y13" s="14"/>
      <c r="Z13" s="14"/>
      <c r="AA13" s="13" t="s">
        <v>379</v>
      </c>
      <c r="AB13" s="14">
        <f t="shared" si="15"/>
        <v>150</v>
      </c>
      <c r="AC13" s="14">
        <f t="shared" si="16"/>
        <v>0</v>
      </c>
      <c r="AD13" s="14">
        <f t="shared" si="17"/>
        <v>0</v>
      </c>
      <c r="AE13" s="18"/>
      <c r="AF13" s="18"/>
      <c r="AG13" s="18"/>
    </row>
    <row r="14" ht="24" customHeight="1" spans="1:33">
      <c r="A14" s="13">
        <v>24</v>
      </c>
      <c r="B14" s="21" t="s">
        <v>384</v>
      </c>
      <c r="C14" s="21" t="s">
        <v>94</v>
      </c>
      <c r="D14" s="13"/>
      <c r="E14" s="13"/>
      <c r="F14" s="13" t="s">
        <v>355</v>
      </c>
      <c r="G14" s="13" t="s">
        <v>379</v>
      </c>
      <c r="H14" s="14">
        <f t="shared" si="10"/>
        <v>300</v>
      </c>
      <c r="I14" s="14">
        <v>67</v>
      </c>
      <c r="J14" s="14">
        <v>233</v>
      </c>
      <c r="K14" s="14"/>
      <c r="L14" s="13"/>
      <c r="M14" s="14">
        <f t="shared" si="11"/>
        <v>0</v>
      </c>
      <c r="N14" s="14"/>
      <c r="O14" s="14"/>
      <c r="P14" s="14"/>
      <c r="Q14" s="13"/>
      <c r="R14" s="14"/>
      <c r="S14" s="14"/>
      <c r="T14" s="14"/>
      <c r="U14" s="14"/>
      <c r="V14" s="13"/>
      <c r="W14" s="14"/>
      <c r="X14" s="14"/>
      <c r="Y14" s="14"/>
      <c r="Z14" s="14"/>
      <c r="AA14" s="13" t="s">
        <v>379</v>
      </c>
      <c r="AB14" s="14">
        <f t="shared" si="15"/>
        <v>67</v>
      </c>
      <c r="AC14" s="14">
        <f t="shared" si="16"/>
        <v>233</v>
      </c>
      <c r="AD14" s="14">
        <f t="shared" si="17"/>
        <v>0</v>
      </c>
      <c r="AE14" s="18"/>
      <c r="AF14" s="18"/>
      <c r="AG14" s="18"/>
    </row>
    <row r="15" ht="24" customHeight="1" spans="1:33">
      <c r="A15" s="25">
        <v>25</v>
      </c>
      <c r="B15" s="26" t="s">
        <v>385</v>
      </c>
      <c r="C15" s="27" t="s">
        <v>94</v>
      </c>
      <c r="D15" s="13"/>
      <c r="E15" s="13"/>
      <c r="F15" s="13" t="s">
        <v>355</v>
      </c>
      <c r="G15" s="13" t="s">
        <v>379</v>
      </c>
      <c r="H15" s="14">
        <f t="shared" si="10"/>
        <v>1500</v>
      </c>
      <c r="I15" s="14">
        <f>662+593</f>
        <v>1255</v>
      </c>
      <c r="J15" s="14">
        <v>245</v>
      </c>
      <c r="K15" s="14">
        <v>0</v>
      </c>
      <c r="L15" s="13"/>
      <c r="M15" s="14">
        <f t="shared" si="11"/>
        <v>0</v>
      </c>
      <c r="N15" s="14"/>
      <c r="O15" s="14"/>
      <c r="P15" s="14"/>
      <c r="Q15" s="13"/>
      <c r="R15" s="14"/>
      <c r="S15" s="14"/>
      <c r="T15" s="14"/>
      <c r="U15" s="14"/>
      <c r="V15" s="13"/>
      <c r="W15" s="14"/>
      <c r="X15" s="14"/>
      <c r="Y15" s="14"/>
      <c r="Z15" s="14"/>
      <c r="AA15" s="13" t="s">
        <v>379</v>
      </c>
      <c r="AB15" s="14">
        <f t="shared" si="15"/>
        <v>1255</v>
      </c>
      <c r="AC15" s="14">
        <f t="shared" si="16"/>
        <v>245</v>
      </c>
      <c r="AD15" s="14">
        <f t="shared" si="17"/>
        <v>0</v>
      </c>
      <c r="AE15" s="18"/>
      <c r="AF15" s="18"/>
      <c r="AG15" s="18"/>
    </row>
    <row r="16" ht="24" customHeight="1" spans="1:33">
      <c r="A16" s="13">
        <v>26</v>
      </c>
      <c r="B16" s="21" t="s">
        <v>386</v>
      </c>
      <c r="C16" s="21" t="s">
        <v>94</v>
      </c>
      <c r="D16" s="13"/>
      <c r="E16" s="13"/>
      <c r="F16" s="13" t="s">
        <v>355</v>
      </c>
      <c r="G16" s="13"/>
      <c r="H16" s="14">
        <f t="shared" si="10"/>
        <v>0</v>
      </c>
      <c r="I16" s="14"/>
      <c r="J16" s="14"/>
      <c r="K16" s="14"/>
      <c r="L16" s="13"/>
      <c r="M16" s="14">
        <f t="shared" si="11"/>
        <v>0</v>
      </c>
      <c r="N16" s="14"/>
      <c r="O16" s="14"/>
      <c r="P16" s="14"/>
      <c r="Q16" s="13" t="s">
        <v>387</v>
      </c>
      <c r="R16" s="14"/>
      <c r="S16" s="14"/>
      <c r="T16" s="14"/>
      <c r="U16" s="30">
        <v>295</v>
      </c>
      <c r="V16" s="13"/>
      <c r="W16" s="14"/>
      <c r="X16" s="14"/>
      <c r="Y16" s="14"/>
      <c r="Z16" s="14"/>
      <c r="AA16" s="13" t="s">
        <v>387</v>
      </c>
      <c r="AB16" s="14">
        <f t="shared" si="15"/>
        <v>0</v>
      </c>
      <c r="AC16" s="14">
        <f t="shared" si="16"/>
        <v>0</v>
      </c>
      <c r="AD16" s="14">
        <f t="shared" si="17"/>
        <v>295</v>
      </c>
      <c r="AE16" s="18"/>
      <c r="AF16" s="18"/>
      <c r="AG16" s="18"/>
    </row>
    <row r="17" ht="40.5" customHeight="1" spans="1:33">
      <c r="A17" s="13">
        <v>27</v>
      </c>
      <c r="B17" s="21" t="s">
        <v>388</v>
      </c>
      <c r="C17" s="21" t="s">
        <v>94</v>
      </c>
      <c r="D17" s="13"/>
      <c r="E17" s="13"/>
      <c r="F17" s="13" t="s">
        <v>389</v>
      </c>
      <c r="G17" s="13" t="s">
        <v>392</v>
      </c>
      <c r="H17" s="14">
        <f t="shared" si="10"/>
        <v>73</v>
      </c>
      <c r="I17" s="14">
        <v>45</v>
      </c>
      <c r="J17" s="14">
        <v>28</v>
      </c>
      <c r="K17" s="14"/>
      <c r="L17" s="13" t="s">
        <v>508</v>
      </c>
      <c r="M17" s="14">
        <f t="shared" si="11"/>
        <v>73</v>
      </c>
      <c r="N17" s="14">
        <v>71</v>
      </c>
      <c r="O17" s="14">
        <v>2</v>
      </c>
      <c r="P17" s="14"/>
      <c r="Q17" s="13" t="s">
        <v>387</v>
      </c>
      <c r="R17" s="14"/>
      <c r="S17" s="14"/>
      <c r="T17" s="14"/>
      <c r="U17" s="30">
        <v>200</v>
      </c>
      <c r="V17" s="13"/>
      <c r="W17" s="14"/>
      <c r="X17" s="14"/>
      <c r="Y17" s="14"/>
      <c r="Z17" s="14"/>
      <c r="AA17" s="13" t="s">
        <v>390</v>
      </c>
      <c r="AB17" s="14">
        <f t="shared" ref="AB17:AD17" si="18">N17+S17+X17</f>
        <v>71</v>
      </c>
      <c r="AC17" s="14">
        <f t="shared" si="18"/>
        <v>2</v>
      </c>
      <c r="AD17" s="14">
        <f t="shared" si="18"/>
        <v>200</v>
      </c>
      <c r="AE17" s="18"/>
      <c r="AF17" s="18"/>
      <c r="AG17" s="18"/>
    </row>
    <row r="18" ht="30" customHeight="1" spans="1:33">
      <c r="A18" s="13">
        <v>28</v>
      </c>
      <c r="B18" s="21" t="s">
        <v>391</v>
      </c>
      <c r="C18" s="21" t="s">
        <v>94</v>
      </c>
      <c r="D18" s="13"/>
      <c r="E18" s="13"/>
      <c r="F18" s="13" t="s">
        <v>389</v>
      </c>
      <c r="G18" s="13" t="s">
        <v>392</v>
      </c>
      <c r="H18" s="14">
        <f t="shared" si="10"/>
        <v>30</v>
      </c>
      <c r="I18" s="14"/>
      <c r="J18" s="14">
        <v>30</v>
      </c>
      <c r="K18" s="14"/>
      <c r="L18" s="13"/>
      <c r="M18" s="14">
        <f t="shared" si="11"/>
        <v>0</v>
      </c>
      <c r="N18" s="14"/>
      <c r="O18" s="14"/>
      <c r="P18" s="14"/>
      <c r="Q18" s="13"/>
      <c r="R18" s="14"/>
      <c r="S18" s="14"/>
      <c r="T18" s="14"/>
      <c r="U18" s="14"/>
      <c r="V18" s="13"/>
      <c r="W18" s="14"/>
      <c r="X18" s="14"/>
      <c r="Y18" s="14"/>
      <c r="Z18" s="14"/>
      <c r="AA18" s="13" t="s">
        <v>392</v>
      </c>
      <c r="AB18" s="14">
        <f t="shared" si="15"/>
        <v>0</v>
      </c>
      <c r="AC18" s="14">
        <f t="shared" si="16"/>
        <v>30</v>
      </c>
      <c r="AD18" s="14">
        <f t="shared" si="17"/>
        <v>0</v>
      </c>
      <c r="AE18" s="18"/>
      <c r="AF18" s="18"/>
      <c r="AG18" s="18"/>
    </row>
    <row r="19" ht="30" customHeight="1" spans="1:33">
      <c r="A19" s="13"/>
      <c r="B19" s="13" t="s">
        <v>509</v>
      </c>
      <c r="C19" s="21" t="s">
        <v>94</v>
      </c>
      <c r="D19" s="13"/>
      <c r="E19" s="13"/>
      <c r="F19" s="13" t="s">
        <v>355</v>
      </c>
      <c r="G19" s="13" t="s">
        <v>379</v>
      </c>
      <c r="H19" s="14">
        <f t="shared" si="10"/>
        <v>495</v>
      </c>
      <c r="I19" s="14"/>
      <c r="J19" s="14"/>
      <c r="K19" s="14">
        <v>495</v>
      </c>
      <c r="L19" s="13"/>
      <c r="M19" s="14">
        <f t="shared" si="11"/>
        <v>0</v>
      </c>
      <c r="N19" s="14"/>
      <c r="O19" s="14"/>
      <c r="P19" s="14"/>
      <c r="Q19" s="13" t="s">
        <v>387</v>
      </c>
      <c r="R19" s="14"/>
      <c r="S19" s="14"/>
      <c r="T19" s="14"/>
      <c r="U19" s="30">
        <f>-495</f>
        <v>-495</v>
      </c>
      <c r="V19" s="13"/>
      <c r="W19" s="14"/>
      <c r="X19" s="14"/>
      <c r="Y19" s="14"/>
      <c r="Z19" s="14"/>
      <c r="AA19" s="13" t="s">
        <v>379</v>
      </c>
      <c r="AB19" s="14">
        <f t="shared" si="15"/>
        <v>0</v>
      </c>
      <c r="AC19" s="14">
        <f t="shared" si="16"/>
        <v>0</v>
      </c>
      <c r="AD19" s="14">
        <f t="shared" si="17"/>
        <v>0</v>
      </c>
      <c r="AE19" s="18"/>
      <c r="AF19" s="18"/>
      <c r="AG19" s="18"/>
    </row>
    <row r="20" s="1" customFormat="1" ht="24" customHeight="1" spans="1:33">
      <c r="A20" s="9" t="s">
        <v>31</v>
      </c>
      <c r="B20" s="9" t="s">
        <v>32</v>
      </c>
      <c r="C20" s="9"/>
      <c r="D20" s="9"/>
      <c r="E20" s="9"/>
      <c r="F20" s="9"/>
      <c r="G20" s="9"/>
      <c r="H20" s="12"/>
      <c r="I20" s="12"/>
      <c r="J20" s="12"/>
      <c r="K20" s="12"/>
      <c r="L20" s="9"/>
      <c r="M20" s="12"/>
      <c r="N20" s="12"/>
      <c r="O20" s="12"/>
      <c r="P20" s="12"/>
      <c r="Q20" s="9"/>
      <c r="R20" s="12"/>
      <c r="S20" s="12"/>
      <c r="T20" s="12"/>
      <c r="U20" s="12"/>
      <c r="V20" s="9"/>
      <c r="W20" s="12"/>
      <c r="X20" s="12"/>
      <c r="Y20" s="12"/>
      <c r="Z20" s="12"/>
      <c r="AA20" s="9"/>
      <c r="AB20" s="14">
        <f t="shared" si="15"/>
        <v>0</v>
      </c>
      <c r="AC20" s="14">
        <f t="shared" si="16"/>
        <v>0</v>
      </c>
      <c r="AD20" s="14">
        <f t="shared" si="17"/>
        <v>0</v>
      </c>
      <c r="AE20" s="18"/>
      <c r="AF20" s="18"/>
      <c r="AG20" s="18"/>
    </row>
    <row r="21" ht="24" customHeight="1" spans="1:33">
      <c r="A21" s="13">
        <v>2</v>
      </c>
      <c r="B21" s="21" t="s">
        <v>394</v>
      </c>
      <c r="C21" s="21" t="s">
        <v>94</v>
      </c>
      <c r="D21" s="13"/>
      <c r="E21" s="13"/>
      <c r="F21" s="13" t="s">
        <v>389</v>
      </c>
      <c r="G21" s="13" t="s">
        <v>392</v>
      </c>
      <c r="H21" s="14">
        <f t="shared" ref="H21" si="19">I21+J21+K21</f>
        <v>130</v>
      </c>
      <c r="I21" s="14">
        <v>71</v>
      </c>
      <c r="J21" s="14">
        <v>59</v>
      </c>
      <c r="K21" s="14"/>
      <c r="L21" s="13" t="s">
        <v>508</v>
      </c>
      <c r="M21" s="14">
        <f t="shared" ref="M21" si="20">N21+O21+P21</f>
        <v>130</v>
      </c>
      <c r="N21" s="14">
        <v>45</v>
      </c>
      <c r="O21" s="14">
        <v>85</v>
      </c>
      <c r="P21" s="14"/>
      <c r="Q21" s="13"/>
      <c r="R21" s="14"/>
      <c r="S21" s="14"/>
      <c r="T21" s="14"/>
      <c r="U21" s="14"/>
      <c r="V21" s="13"/>
      <c r="W21" s="14"/>
      <c r="X21" s="14"/>
      <c r="Y21" s="14"/>
      <c r="Z21" s="14"/>
      <c r="AA21" s="13" t="s">
        <v>395</v>
      </c>
      <c r="AB21" s="14">
        <f t="shared" ref="AB21:AD21" si="21">N21+S21+X21</f>
        <v>45</v>
      </c>
      <c r="AC21" s="14">
        <f t="shared" si="21"/>
        <v>85</v>
      </c>
      <c r="AD21" s="14">
        <f t="shared" si="21"/>
        <v>0</v>
      </c>
      <c r="AE21" s="18"/>
      <c r="AF21" s="18"/>
      <c r="AG21" s="18"/>
    </row>
    <row r="22" s="1" customFormat="1" ht="24" customHeight="1" spans="1:33">
      <c r="A22" s="9" t="s">
        <v>49</v>
      </c>
      <c r="B22" s="9" t="s">
        <v>50</v>
      </c>
      <c r="C22" s="9"/>
      <c r="D22" s="9"/>
      <c r="E22" s="9"/>
      <c r="F22" s="9"/>
      <c r="G22" s="9"/>
      <c r="H22" s="12"/>
      <c r="I22" s="12"/>
      <c r="J22" s="12"/>
      <c r="K22" s="12"/>
      <c r="L22" s="9"/>
      <c r="M22" s="12"/>
      <c r="N22" s="12"/>
      <c r="O22" s="12"/>
      <c r="P22" s="12"/>
      <c r="Q22" s="9"/>
      <c r="R22" s="12"/>
      <c r="S22" s="12"/>
      <c r="T22" s="12"/>
      <c r="U22" s="12"/>
      <c r="V22" s="9"/>
      <c r="W22" s="12"/>
      <c r="X22" s="12"/>
      <c r="Y22" s="12"/>
      <c r="Z22" s="12"/>
      <c r="AA22" s="9"/>
      <c r="AB22" s="14">
        <f t="shared" si="15"/>
        <v>0</v>
      </c>
      <c r="AC22" s="14">
        <f t="shared" si="16"/>
        <v>0</v>
      </c>
      <c r="AD22" s="14">
        <f t="shared" si="17"/>
        <v>0</v>
      </c>
      <c r="AE22" s="18"/>
      <c r="AF22" s="18"/>
      <c r="AG22" s="18"/>
    </row>
    <row r="23" ht="24" customHeight="1" spans="1:33">
      <c r="A23" s="13">
        <v>20</v>
      </c>
      <c r="B23" s="21" t="s">
        <v>412</v>
      </c>
      <c r="C23" s="21" t="s">
        <v>94</v>
      </c>
      <c r="D23" s="13"/>
      <c r="E23" s="13"/>
      <c r="F23" s="13" t="s">
        <v>355</v>
      </c>
      <c r="G23" s="13" t="s">
        <v>379</v>
      </c>
      <c r="H23" s="14">
        <f t="shared" ref="H23:H42" si="22">I23+J23+K23</f>
        <v>125</v>
      </c>
      <c r="I23" s="14"/>
      <c r="J23" s="14"/>
      <c r="K23" s="14">
        <v>125</v>
      </c>
      <c r="L23" s="13"/>
      <c r="M23" s="14">
        <f t="shared" ref="M23:M42" si="23">N23+O23+P23</f>
        <v>0</v>
      </c>
      <c r="N23" s="14"/>
      <c r="O23" s="14"/>
      <c r="P23" s="14"/>
      <c r="Q23" s="13"/>
      <c r="R23" s="14"/>
      <c r="S23" s="14"/>
      <c r="T23" s="14"/>
      <c r="U23" s="14"/>
      <c r="V23" s="13"/>
      <c r="W23" s="14"/>
      <c r="X23" s="14"/>
      <c r="Y23" s="14"/>
      <c r="Z23" s="14"/>
      <c r="AA23" s="13" t="s">
        <v>379</v>
      </c>
      <c r="AB23" s="14">
        <f t="shared" si="15"/>
        <v>0</v>
      </c>
      <c r="AC23" s="14">
        <f t="shared" si="16"/>
        <v>0</v>
      </c>
      <c r="AD23" s="14">
        <f t="shared" si="17"/>
        <v>125</v>
      </c>
      <c r="AE23" s="18"/>
      <c r="AF23" s="18"/>
      <c r="AG23" s="18"/>
    </row>
    <row r="24" ht="24" customHeight="1" spans="1:33">
      <c r="A24" s="13">
        <v>21</v>
      </c>
      <c r="B24" s="21" t="s">
        <v>413</v>
      </c>
      <c r="C24" s="21" t="s">
        <v>94</v>
      </c>
      <c r="D24" s="13"/>
      <c r="E24" s="13"/>
      <c r="F24" s="13" t="s">
        <v>355</v>
      </c>
      <c r="G24" s="13" t="s">
        <v>379</v>
      </c>
      <c r="H24" s="14">
        <f t="shared" si="22"/>
        <v>90</v>
      </c>
      <c r="I24" s="14"/>
      <c r="J24" s="14"/>
      <c r="K24" s="14">
        <v>90</v>
      </c>
      <c r="L24" s="13"/>
      <c r="M24" s="14">
        <f t="shared" si="23"/>
        <v>0</v>
      </c>
      <c r="N24" s="14"/>
      <c r="O24" s="14"/>
      <c r="P24" s="14"/>
      <c r="Q24" s="13"/>
      <c r="R24" s="14"/>
      <c r="S24" s="14"/>
      <c r="T24" s="14"/>
      <c r="U24" s="14"/>
      <c r="V24" s="13"/>
      <c r="W24" s="14"/>
      <c r="X24" s="14"/>
      <c r="Y24" s="14"/>
      <c r="Z24" s="14"/>
      <c r="AA24" s="13" t="s">
        <v>379</v>
      </c>
      <c r="AB24" s="14">
        <f t="shared" si="15"/>
        <v>0</v>
      </c>
      <c r="AC24" s="14">
        <f t="shared" si="16"/>
        <v>0</v>
      </c>
      <c r="AD24" s="14">
        <f t="shared" si="17"/>
        <v>90</v>
      </c>
      <c r="AE24" s="18"/>
      <c r="AF24" s="18"/>
      <c r="AG24" s="18"/>
    </row>
    <row r="25" ht="24" customHeight="1" spans="1:33">
      <c r="A25" s="13">
        <v>22</v>
      </c>
      <c r="B25" s="21" t="s">
        <v>414</v>
      </c>
      <c r="C25" s="21" t="s">
        <v>94</v>
      </c>
      <c r="D25" s="13"/>
      <c r="E25" s="13"/>
      <c r="F25" s="13" t="s">
        <v>355</v>
      </c>
      <c r="G25" s="13" t="s">
        <v>379</v>
      </c>
      <c r="H25" s="14">
        <f t="shared" si="22"/>
        <v>30</v>
      </c>
      <c r="I25" s="14"/>
      <c r="J25" s="14"/>
      <c r="K25" s="14">
        <v>30</v>
      </c>
      <c r="L25" s="13"/>
      <c r="M25" s="14">
        <f t="shared" si="23"/>
        <v>0</v>
      </c>
      <c r="N25" s="14"/>
      <c r="O25" s="14"/>
      <c r="P25" s="14"/>
      <c r="Q25" s="13"/>
      <c r="R25" s="14"/>
      <c r="S25" s="14"/>
      <c r="T25" s="14"/>
      <c r="U25" s="14"/>
      <c r="V25" s="13"/>
      <c r="W25" s="14"/>
      <c r="X25" s="14"/>
      <c r="Y25" s="14"/>
      <c r="Z25" s="14"/>
      <c r="AA25" s="13" t="s">
        <v>379</v>
      </c>
      <c r="AB25" s="14">
        <f t="shared" si="15"/>
        <v>0</v>
      </c>
      <c r="AC25" s="14">
        <f t="shared" si="16"/>
        <v>0</v>
      </c>
      <c r="AD25" s="14">
        <f t="shared" si="17"/>
        <v>30</v>
      </c>
      <c r="AE25" s="18"/>
      <c r="AF25" s="18"/>
      <c r="AG25" s="18"/>
    </row>
    <row r="26" ht="24" customHeight="1" spans="1:33">
      <c r="A26" s="13">
        <v>23</v>
      </c>
      <c r="B26" s="21" t="s">
        <v>415</v>
      </c>
      <c r="C26" s="21" t="s">
        <v>94</v>
      </c>
      <c r="D26" s="13"/>
      <c r="E26" s="13"/>
      <c r="F26" s="13" t="s">
        <v>355</v>
      </c>
      <c r="G26" s="13" t="s">
        <v>379</v>
      </c>
      <c r="H26" s="14">
        <f t="shared" si="22"/>
        <v>68</v>
      </c>
      <c r="I26" s="14"/>
      <c r="J26" s="14">
        <v>68</v>
      </c>
      <c r="K26" s="14"/>
      <c r="L26" s="13"/>
      <c r="M26" s="14">
        <f t="shared" si="23"/>
        <v>0</v>
      </c>
      <c r="N26" s="14"/>
      <c r="O26" s="14"/>
      <c r="P26" s="14"/>
      <c r="Q26" s="13"/>
      <c r="R26" s="14"/>
      <c r="S26" s="14"/>
      <c r="T26" s="14"/>
      <c r="U26" s="14"/>
      <c r="V26" s="13" t="s">
        <v>507</v>
      </c>
      <c r="W26" s="14"/>
      <c r="X26" s="14"/>
      <c r="Y26" s="14">
        <v>-19.04</v>
      </c>
      <c r="Z26" s="14"/>
      <c r="AA26" s="13" t="s">
        <v>381</v>
      </c>
      <c r="AB26" s="14">
        <f t="shared" si="15"/>
        <v>0</v>
      </c>
      <c r="AC26" s="14">
        <f t="shared" si="16"/>
        <v>48.96</v>
      </c>
      <c r="AD26" s="14">
        <f t="shared" si="17"/>
        <v>0</v>
      </c>
      <c r="AE26" s="18"/>
      <c r="AF26" s="18"/>
      <c r="AG26" s="18"/>
    </row>
    <row r="27" ht="24" customHeight="1" spans="1:33">
      <c r="A27" s="13">
        <v>24</v>
      </c>
      <c r="B27" s="21" t="s">
        <v>416</v>
      </c>
      <c r="C27" s="21" t="s">
        <v>94</v>
      </c>
      <c r="D27" s="13"/>
      <c r="E27" s="13"/>
      <c r="F27" s="13" t="s">
        <v>355</v>
      </c>
      <c r="G27" s="13" t="s">
        <v>379</v>
      </c>
      <c r="H27" s="14">
        <f t="shared" si="22"/>
        <v>130</v>
      </c>
      <c r="I27" s="14">
        <v>119</v>
      </c>
      <c r="J27" s="14">
        <v>11</v>
      </c>
      <c r="K27" s="14"/>
      <c r="L27" s="13"/>
      <c r="M27" s="14">
        <f t="shared" si="23"/>
        <v>0</v>
      </c>
      <c r="N27" s="14"/>
      <c r="O27" s="14"/>
      <c r="P27" s="14"/>
      <c r="Q27" s="13"/>
      <c r="R27" s="14"/>
      <c r="S27" s="14"/>
      <c r="T27" s="14"/>
      <c r="U27" s="14"/>
      <c r="V27" s="13"/>
      <c r="W27" s="14"/>
      <c r="X27" s="14"/>
      <c r="Y27" s="14"/>
      <c r="Z27" s="14"/>
      <c r="AA27" s="13" t="s">
        <v>379</v>
      </c>
      <c r="AB27" s="14">
        <f t="shared" si="15"/>
        <v>119</v>
      </c>
      <c r="AC27" s="14">
        <f t="shared" si="16"/>
        <v>11</v>
      </c>
      <c r="AD27" s="14">
        <f t="shared" si="17"/>
        <v>0</v>
      </c>
      <c r="AE27" s="18"/>
      <c r="AF27" s="18"/>
      <c r="AG27" s="18"/>
    </row>
    <row r="28" ht="24" customHeight="1" spans="1:33">
      <c r="A28" s="13">
        <v>25</v>
      </c>
      <c r="B28" s="21" t="s">
        <v>417</v>
      </c>
      <c r="C28" s="21" t="s">
        <v>94</v>
      </c>
      <c r="D28" s="13"/>
      <c r="E28" s="13"/>
      <c r="F28" s="13" t="s">
        <v>355</v>
      </c>
      <c r="G28" s="13" t="s">
        <v>379</v>
      </c>
      <c r="H28" s="14">
        <f t="shared" si="22"/>
        <v>20</v>
      </c>
      <c r="I28" s="14"/>
      <c r="J28" s="14"/>
      <c r="K28" s="14">
        <v>20</v>
      </c>
      <c r="L28" s="13"/>
      <c r="M28" s="14">
        <f t="shared" si="23"/>
        <v>0</v>
      </c>
      <c r="N28" s="14"/>
      <c r="O28" s="14"/>
      <c r="P28" s="14"/>
      <c r="Q28" s="13"/>
      <c r="R28" s="14"/>
      <c r="S28" s="14"/>
      <c r="T28" s="14"/>
      <c r="U28" s="14"/>
      <c r="V28" s="13"/>
      <c r="W28" s="14"/>
      <c r="X28" s="14"/>
      <c r="Y28" s="14"/>
      <c r="Z28" s="14"/>
      <c r="AA28" s="13" t="s">
        <v>379</v>
      </c>
      <c r="AB28" s="14">
        <f t="shared" si="15"/>
        <v>0</v>
      </c>
      <c r="AC28" s="14">
        <f t="shared" si="16"/>
        <v>0</v>
      </c>
      <c r="AD28" s="14">
        <f t="shared" si="17"/>
        <v>20</v>
      </c>
      <c r="AE28" s="18"/>
      <c r="AF28" s="18"/>
      <c r="AG28" s="18"/>
    </row>
    <row r="29" ht="24" customHeight="1" spans="1:33">
      <c r="A29" s="13">
        <v>26</v>
      </c>
      <c r="B29" s="21" t="s">
        <v>418</v>
      </c>
      <c r="C29" s="21" t="s">
        <v>94</v>
      </c>
      <c r="D29" s="13"/>
      <c r="E29" s="13"/>
      <c r="F29" s="13" t="s">
        <v>355</v>
      </c>
      <c r="G29" s="13" t="s">
        <v>379</v>
      </c>
      <c r="H29" s="14">
        <f t="shared" si="22"/>
        <v>26</v>
      </c>
      <c r="I29" s="14"/>
      <c r="J29" s="14"/>
      <c r="K29" s="14">
        <v>26</v>
      </c>
      <c r="L29" s="13"/>
      <c r="M29" s="14">
        <f t="shared" si="23"/>
        <v>0</v>
      </c>
      <c r="N29" s="14"/>
      <c r="O29" s="14"/>
      <c r="P29" s="14"/>
      <c r="Q29" s="13"/>
      <c r="R29" s="14"/>
      <c r="S29" s="14"/>
      <c r="T29" s="14"/>
      <c r="U29" s="14"/>
      <c r="V29" s="13"/>
      <c r="W29" s="14"/>
      <c r="X29" s="14"/>
      <c r="Y29" s="14"/>
      <c r="Z29" s="14"/>
      <c r="AA29" s="13" t="s">
        <v>379</v>
      </c>
      <c r="AB29" s="14">
        <f t="shared" si="15"/>
        <v>0</v>
      </c>
      <c r="AC29" s="14">
        <f t="shared" si="16"/>
        <v>0</v>
      </c>
      <c r="AD29" s="14">
        <f t="shared" si="17"/>
        <v>26</v>
      </c>
      <c r="AE29" s="18"/>
      <c r="AF29" s="18"/>
      <c r="AG29" s="18"/>
    </row>
    <row r="30" ht="24" customHeight="1" spans="1:33">
      <c r="A30" s="13">
        <v>27</v>
      </c>
      <c r="B30" s="21" t="s">
        <v>419</v>
      </c>
      <c r="C30" s="21" t="s">
        <v>94</v>
      </c>
      <c r="D30" s="13"/>
      <c r="E30" s="13"/>
      <c r="F30" s="13" t="s">
        <v>355</v>
      </c>
      <c r="G30" s="13" t="s">
        <v>379</v>
      </c>
      <c r="H30" s="14">
        <f t="shared" si="22"/>
        <v>40</v>
      </c>
      <c r="I30" s="14"/>
      <c r="J30" s="14"/>
      <c r="K30" s="14">
        <v>40</v>
      </c>
      <c r="L30" s="13"/>
      <c r="M30" s="14">
        <f t="shared" si="23"/>
        <v>0</v>
      </c>
      <c r="N30" s="14"/>
      <c r="O30" s="14"/>
      <c r="P30" s="14"/>
      <c r="Q30" s="13"/>
      <c r="R30" s="14"/>
      <c r="S30" s="14"/>
      <c r="T30" s="14"/>
      <c r="U30" s="14"/>
      <c r="V30" s="13" t="s">
        <v>507</v>
      </c>
      <c r="W30" s="14"/>
      <c r="X30" s="14"/>
      <c r="Y30" s="14">
        <v>19.04</v>
      </c>
      <c r="Z30" s="14"/>
      <c r="AA30" s="13" t="s">
        <v>381</v>
      </c>
      <c r="AB30" s="14">
        <f t="shared" si="15"/>
        <v>0</v>
      </c>
      <c r="AC30" s="14">
        <f t="shared" si="16"/>
        <v>19.04</v>
      </c>
      <c r="AD30" s="14">
        <f t="shared" si="17"/>
        <v>40</v>
      </c>
      <c r="AE30" s="18"/>
      <c r="AF30" s="18"/>
      <c r="AG30" s="18"/>
    </row>
    <row r="31" ht="24" customHeight="1" spans="1:33">
      <c r="A31" s="13">
        <v>28</v>
      </c>
      <c r="B31" s="21" t="s">
        <v>420</v>
      </c>
      <c r="C31" s="21" t="s">
        <v>94</v>
      </c>
      <c r="D31" s="13"/>
      <c r="E31" s="13"/>
      <c r="F31" s="13" t="s">
        <v>355</v>
      </c>
      <c r="G31" s="13" t="s">
        <v>379</v>
      </c>
      <c r="H31" s="14">
        <f t="shared" si="22"/>
        <v>90</v>
      </c>
      <c r="I31" s="14"/>
      <c r="J31" s="14"/>
      <c r="K31" s="14">
        <v>90</v>
      </c>
      <c r="L31" s="13"/>
      <c r="M31" s="14">
        <f t="shared" si="23"/>
        <v>0</v>
      </c>
      <c r="N31" s="14"/>
      <c r="O31" s="14"/>
      <c r="P31" s="14"/>
      <c r="Q31" s="13"/>
      <c r="R31" s="14"/>
      <c r="S31" s="14"/>
      <c r="T31" s="14"/>
      <c r="U31" s="14"/>
      <c r="V31" s="13" t="s">
        <v>507</v>
      </c>
      <c r="W31" s="14"/>
      <c r="X31" s="14"/>
      <c r="Y31" s="14"/>
      <c r="Z31" s="14">
        <f>-11.496251+-4.72</f>
        <v>-16.216251</v>
      </c>
      <c r="AA31" s="13" t="s">
        <v>381</v>
      </c>
      <c r="AB31" s="14">
        <f t="shared" si="15"/>
        <v>0</v>
      </c>
      <c r="AC31" s="14">
        <f t="shared" si="16"/>
        <v>0</v>
      </c>
      <c r="AD31" s="14">
        <f t="shared" si="17"/>
        <v>73.783749</v>
      </c>
      <c r="AE31" s="18"/>
      <c r="AF31" s="18"/>
      <c r="AG31" s="18"/>
    </row>
    <row r="32" ht="24" customHeight="1" spans="1:33">
      <c r="A32" s="13">
        <v>29</v>
      </c>
      <c r="B32" s="21" t="s">
        <v>421</v>
      </c>
      <c r="C32" s="21" t="s">
        <v>94</v>
      </c>
      <c r="D32" s="13"/>
      <c r="E32" s="13"/>
      <c r="F32" s="13" t="s">
        <v>355</v>
      </c>
      <c r="G32" s="13" t="s">
        <v>379</v>
      </c>
      <c r="H32" s="14">
        <f t="shared" si="22"/>
        <v>154</v>
      </c>
      <c r="I32" s="14"/>
      <c r="J32" s="14">
        <v>3</v>
      </c>
      <c r="K32" s="14">
        <v>151</v>
      </c>
      <c r="L32" s="13"/>
      <c r="M32" s="14">
        <f t="shared" si="23"/>
        <v>0</v>
      </c>
      <c r="N32" s="14"/>
      <c r="O32" s="14"/>
      <c r="P32" s="14"/>
      <c r="Q32" s="13"/>
      <c r="R32" s="14"/>
      <c r="S32" s="14"/>
      <c r="T32" s="14"/>
      <c r="U32" s="14"/>
      <c r="V32" s="13" t="s">
        <v>507</v>
      </c>
      <c r="W32" s="14"/>
      <c r="X32" s="14"/>
      <c r="Y32" s="14"/>
      <c r="Z32" s="14">
        <v>4.72</v>
      </c>
      <c r="AA32" s="13" t="s">
        <v>381</v>
      </c>
      <c r="AB32" s="14">
        <f t="shared" si="15"/>
        <v>0</v>
      </c>
      <c r="AC32" s="14">
        <f t="shared" si="16"/>
        <v>3</v>
      </c>
      <c r="AD32" s="14">
        <f t="shared" si="17"/>
        <v>155.72</v>
      </c>
      <c r="AE32" s="18"/>
      <c r="AF32" s="18"/>
      <c r="AG32" s="18"/>
    </row>
    <row r="33" ht="24" customHeight="1" spans="1:33">
      <c r="A33" s="13">
        <v>30</v>
      </c>
      <c r="B33" s="21" t="s">
        <v>422</v>
      </c>
      <c r="C33" s="21" t="s">
        <v>94</v>
      </c>
      <c r="D33" s="13"/>
      <c r="E33" s="13"/>
      <c r="F33" s="13" t="s">
        <v>355</v>
      </c>
      <c r="G33" s="13" t="s">
        <v>379</v>
      </c>
      <c r="H33" s="14">
        <f t="shared" si="22"/>
        <v>210</v>
      </c>
      <c r="I33" s="14">
        <v>199</v>
      </c>
      <c r="J33" s="14">
        <v>11</v>
      </c>
      <c r="K33" s="14"/>
      <c r="L33" s="13"/>
      <c r="M33" s="14">
        <f t="shared" si="23"/>
        <v>0</v>
      </c>
      <c r="N33" s="14"/>
      <c r="O33" s="14"/>
      <c r="P33" s="14"/>
      <c r="Q33" s="13"/>
      <c r="R33" s="14"/>
      <c r="S33" s="14"/>
      <c r="T33" s="14"/>
      <c r="U33" s="14"/>
      <c r="V33" s="13"/>
      <c r="W33" s="14"/>
      <c r="X33" s="14"/>
      <c r="Y33" s="14"/>
      <c r="Z33" s="14"/>
      <c r="AA33" s="13" t="s">
        <v>379</v>
      </c>
      <c r="AB33" s="14">
        <f t="shared" si="15"/>
        <v>199</v>
      </c>
      <c r="AC33" s="14">
        <f t="shared" si="16"/>
        <v>11</v>
      </c>
      <c r="AD33" s="14">
        <f t="shared" si="17"/>
        <v>0</v>
      </c>
      <c r="AE33" s="18"/>
      <c r="AF33" s="18"/>
      <c r="AG33" s="18"/>
    </row>
    <row r="34" ht="24" customHeight="1" spans="1:33">
      <c r="A34" s="13">
        <v>31</v>
      </c>
      <c r="B34" s="21" t="s">
        <v>423</v>
      </c>
      <c r="C34" s="21" t="s">
        <v>94</v>
      </c>
      <c r="D34" s="13"/>
      <c r="E34" s="13"/>
      <c r="F34" s="13" t="s">
        <v>355</v>
      </c>
      <c r="G34" s="13" t="s">
        <v>379</v>
      </c>
      <c r="H34" s="14">
        <f t="shared" si="22"/>
        <v>36</v>
      </c>
      <c r="I34" s="14"/>
      <c r="J34" s="14">
        <v>36</v>
      </c>
      <c r="K34" s="14"/>
      <c r="L34" s="13"/>
      <c r="M34" s="14">
        <f t="shared" si="23"/>
        <v>0</v>
      </c>
      <c r="N34" s="14"/>
      <c r="O34" s="14"/>
      <c r="P34" s="14"/>
      <c r="Q34" s="13"/>
      <c r="R34" s="14"/>
      <c r="S34" s="14"/>
      <c r="T34" s="14"/>
      <c r="U34" s="14"/>
      <c r="V34" s="13"/>
      <c r="W34" s="14"/>
      <c r="X34" s="14"/>
      <c r="Y34" s="14"/>
      <c r="Z34" s="14"/>
      <c r="AA34" s="13" t="s">
        <v>379</v>
      </c>
      <c r="AB34" s="14">
        <f t="shared" si="15"/>
        <v>0</v>
      </c>
      <c r="AC34" s="14">
        <f t="shared" si="16"/>
        <v>36</v>
      </c>
      <c r="AD34" s="14">
        <f t="shared" si="17"/>
        <v>0</v>
      </c>
      <c r="AE34" s="18"/>
      <c r="AF34" s="18"/>
      <c r="AG34" s="18"/>
    </row>
    <row r="35" ht="24" customHeight="1" spans="1:33">
      <c r="A35" s="25"/>
      <c r="B35" s="25" t="s">
        <v>510</v>
      </c>
      <c r="C35" s="21" t="s">
        <v>94</v>
      </c>
      <c r="D35" s="13"/>
      <c r="E35" s="13"/>
      <c r="F35" s="13" t="s">
        <v>355</v>
      </c>
      <c r="G35" s="13" t="s">
        <v>379</v>
      </c>
      <c r="H35" s="14">
        <f t="shared" si="22"/>
        <v>24</v>
      </c>
      <c r="I35" s="14"/>
      <c r="J35" s="14">
        <v>24</v>
      </c>
      <c r="K35" s="14"/>
      <c r="L35" s="13"/>
      <c r="M35" s="14">
        <f t="shared" si="23"/>
        <v>0</v>
      </c>
      <c r="N35" s="14"/>
      <c r="O35" s="14"/>
      <c r="P35" s="14"/>
      <c r="Q35" s="13" t="s">
        <v>425</v>
      </c>
      <c r="R35" s="14">
        <f t="shared" ref="R35:R42" si="24">S35+T35+U35</f>
        <v>-24</v>
      </c>
      <c r="S35" s="14"/>
      <c r="T35" s="14">
        <v>-24</v>
      </c>
      <c r="U35" s="14"/>
      <c r="V35" s="13"/>
      <c r="W35" s="14"/>
      <c r="X35" s="14"/>
      <c r="Y35" s="14"/>
      <c r="Z35" s="14"/>
      <c r="AA35" s="13" t="s">
        <v>511</v>
      </c>
      <c r="AB35" s="14">
        <f t="shared" si="15"/>
        <v>0</v>
      </c>
      <c r="AC35" s="14">
        <f t="shared" si="16"/>
        <v>0</v>
      </c>
      <c r="AD35" s="14">
        <f t="shared" si="17"/>
        <v>0</v>
      </c>
      <c r="AE35" s="18"/>
      <c r="AF35" s="18"/>
      <c r="AG35" s="18"/>
    </row>
    <row r="36" ht="42.75" customHeight="1" spans="1:33">
      <c r="A36" s="25"/>
      <c r="B36" s="25" t="s">
        <v>512</v>
      </c>
      <c r="C36" s="21" t="s">
        <v>94</v>
      </c>
      <c r="D36" s="13"/>
      <c r="E36" s="13"/>
      <c r="F36" s="13" t="s">
        <v>355</v>
      </c>
      <c r="G36" s="13" t="s">
        <v>379</v>
      </c>
      <c r="H36" s="14">
        <f t="shared" si="22"/>
        <v>93</v>
      </c>
      <c r="I36" s="14"/>
      <c r="J36" s="14">
        <v>93</v>
      </c>
      <c r="K36" s="14"/>
      <c r="L36" s="13"/>
      <c r="M36" s="14">
        <f t="shared" si="23"/>
        <v>0</v>
      </c>
      <c r="N36" s="14"/>
      <c r="O36" s="14"/>
      <c r="P36" s="14"/>
      <c r="Q36" s="13" t="s">
        <v>425</v>
      </c>
      <c r="R36" s="14">
        <f t="shared" si="24"/>
        <v>-93</v>
      </c>
      <c r="S36" s="14"/>
      <c r="T36" s="14">
        <v>-93</v>
      </c>
      <c r="U36" s="14"/>
      <c r="V36" s="13"/>
      <c r="W36" s="14"/>
      <c r="X36" s="14"/>
      <c r="Y36" s="14"/>
      <c r="Z36" s="14"/>
      <c r="AA36" s="13" t="s">
        <v>511</v>
      </c>
      <c r="AB36" s="14">
        <f t="shared" si="15"/>
        <v>0</v>
      </c>
      <c r="AC36" s="14">
        <f t="shared" si="16"/>
        <v>0</v>
      </c>
      <c r="AD36" s="14">
        <f t="shared" si="17"/>
        <v>0</v>
      </c>
      <c r="AE36" s="18"/>
      <c r="AF36" s="18"/>
      <c r="AG36" s="18"/>
    </row>
    <row r="37" ht="24" customHeight="1" spans="1:33">
      <c r="A37" s="25"/>
      <c r="B37" s="25" t="s">
        <v>513</v>
      </c>
      <c r="C37" s="21" t="s">
        <v>94</v>
      </c>
      <c r="D37" s="13"/>
      <c r="E37" s="13"/>
      <c r="F37" s="13" t="s">
        <v>355</v>
      </c>
      <c r="G37" s="13" t="s">
        <v>379</v>
      </c>
      <c r="H37" s="14">
        <f t="shared" si="22"/>
        <v>118</v>
      </c>
      <c r="I37" s="14"/>
      <c r="J37" s="14"/>
      <c r="K37" s="14">
        <v>118</v>
      </c>
      <c r="L37" s="13"/>
      <c r="M37" s="14">
        <f t="shared" si="23"/>
        <v>0</v>
      </c>
      <c r="N37" s="14"/>
      <c r="O37" s="14"/>
      <c r="P37" s="14"/>
      <c r="Q37" s="13" t="s">
        <v>425</v>
      </c>
      <c r="R37" s="14">
        <f t="shared" si="24"/>
        <v>-118</v>
      </c>
      <c r="S37" s="14"/>
      <c r="T37" s="14"/>
      <c r="U37" s="14">
        <f>-63+-55</f>
        <v>-118</v>
      </c>
      <c r="V37" s="13"/>
      <c r="W37" s="14"/>
      <c r="X37" s="14"/>
      <c r="Y37" s="14"/>
      <c r="Z37" s="14"/>
      <c r="AA37" s="13" t="s">
        <v>511</v>
      </c>
      <c r="AB37" s="14">
        <f t="shared" si="15"/>
        <v>0</v>
      </c>
      <c r="AC37" s="14">
        <f t="shared" si="16"/>
        <v>0</v>
      </c>
      <c r="AD37" s="14">
        <f t="shared" si="17"/>
        <v>0</v>
      </c>
      <c r="AE37" s="18"/>
      <c r="AF37" s="18"/>
      <c r="AG37" s="18"/>
    </row>
    <row r="38" ht="24" customHeight="1" spans="1:33">
      <c r="A38" s="25"/>
      <c r="B38" s="25" t="s">
        <v>514</v>
      </c>
      <c r="C38" s="21" t="s">
        <v>94</v>
      </c>
      <c r="D38" s="13"/>
      <c r="E38" s="13"/>
      <c r="F38" s="13" t="s">
        <v>355</v>
      </c>
      <c r="G38" s="13" t="s">
        <v>379</v>
      </c>
      <c r="H38" s="14">
        <f t="shared" si="22"/>
        <v>66</v>
      </c>
      <c r="I38" s="14"/>
      <c r="J38" s="14">
        <v>35</v>
      </c>
      <c r="K38" s="14">
        <v>31</v>
      </c>
      <c r="L38" s="13"/>
      <c r="M38" s="14">
        <f t="shared" si="23"/>
        <v>0</v>
      </c>
      <c r="N38" s="14"/>
      <c r="O38" s="14"/>
      <c r="P38" s="14"/>
      <c r="Q38" s="13" t="s">
        <v>425</v>
      </c>
      <c r="R38" s="14">
        <f t="shared" si="24"/>
        <v>-66</v>
      </c>
      <c r="S38" s="14"/>
      <c r="T38" s="14">
        <v>-35</v>
      </c>
      <c r="U38" s="14">
        <v>-31</v>
      </c>
      <c r="V38" s="13"/>
      <c r="W38" s="14"/>
      <c r="X38" s="14"/>
      <c r="Y38" s="14"/>
      <c r="Z38" s="14"/>
      <c r="AA38" s="13" t="s">
        <v>511</v>
      </c>
      <c r="AB38" s="14">
        <f t="shared" si="15"/>
        <v>0</v>
      </c>
      <c r="AC38" s="14">
        <f t="shared" si="16"/>
        <v>0</v>
      </c>
      <c r="AD38" s="14">
        <f t="shared" si="17"/>
        <v>0</v>
      </c>
      <c r="AE38" s="18"/>
      <c r="AF38" s="18"/>
      <c r="AG38" s="18"/>
    </row>
    <row r="39" ht="24" customHeight="1" spans="1:33">
      <c r="A39" s="25"/>
      <c r="B39" s="25" t="s">
        <v>515</v>
      </c>
      <c r="C39" s="21" t="s">
        <v>94</v>
      </c>
      <c r="D39" s="13"/>
      <c r="E39" s="13"/>
      <c r="F39" s="13" t="s">
        <v>355</v>
      </c>
      <c r="G39" s="13" t="s">
        <v>379</v>
      </c>
      <c r="H39" s="14">
        <f t="shared" si="22"/>
        <v>40</v>
      </c>
      <c r="I39" s="14"/>
      <c r="J39" s="14">
        <v>40</v>
      </c>
      <c r="K39" s="14"/>
      <c r="L39" s="13"/>
      <c r="M39" s="14">
        <f t="shared" si="23"/>
        <v>0</v>
      </c>
      <c r="N39" s="14"/>
      <c r="O39" s="14"/>
      <c r="P39" s="14"/>
      <c r="Q39" s="13" t="s">
        <v>425</v>
      </c>
      <c r="R39" s="14">
        <f t="shared" si="24"/>
        <v>-40</v>
      </c>
      <c r="S39" s="14"/>
      <c r="T39" s="14">
        <v>-40</v>
      </c>
      <c r="U39" s="14"/>
      <c r="V39" s="13"/>
      <c r="W39" s="14"/>
      <c r="X39" s="14"/>
      <c r="Y39" s="14"/>
      <c r="Z39" s="14"/>
      <c r="AA39" s="13" t="s">
        <v>511</v>
      </c>
      <c r="AB39" s="14">
        <f t="shared" si="15"/>
        <v>0</v>
      </c>
      <c r="AC39" s="14">
        <f t="shared" si="16"/>
        <v>0</v>
      </c>
      <c r="AD39" s="14">
        <f t="shared" si="17"/>
        <v>0</v>
      </c>
      <c r="AE39" s="18"/>
      <c r="AF39" s="18"/>
      <c r="AG39" s="18"/>
    </row>
    <row r="40" ht="34.5" customHeight="1" spans="1:33">
      <c r="A40" s="25">
        <v>32</v>
      </c>
      <c r="B40" s="27" t="s">
        <v>424</v>
      </c>
      <c r="C40" s="27" t="s">
        <v>94</v>
      </c>
      <c r="D40" s="13"/>
      <c r="E40" s="13"/>
      <c r="F40" s="13" t="s">
        <v>355</v>
      </c>
      <c r="G40" s="13"/>
      <c r="H40" s="14">
        <f t="shared" si="22"/>
        <v>0</v>
      </c>
      <c r="I40" s="14"/>
      <c r="J40" s="14"/>
      <c r="K40" s="14"/>
      <c r="L40" s="13"/>
      <c r="M40" s="14">
        <f t="shared" si="23"/>
        <v>0</v>
      </c>
      <c r="N40" s="14"/>
      <c r="O40" s="14"/>
      <c r="P40" s="14"/>
      <c r="Q40" s="13" t="s">
        <v>425</v>
      </c>
      <c r="R40" s="14">
        <f t="shared" si="24"/>
        <v>180</v>
      </c>
      <c r="S40" s="14"/>
      <c r="T40" s="14">
        <f>24+93</f>
        <v>117</v>
      </c>
      <c r="U40" s="14">
        <v>63</v>
      </c>
      <c r="V40" s="13"/>
      <c r="W40" s="14"/>
      <c r="X40" s="14"/>
      <c r="Y40" s="14"/>
      <c r="Z40" s="14"/>
      <c r="AA40" s="13" t="s">
        <v>425</v>
      </c>
      <c r="AB40" s="14">
        <f t="shared" si="15"/>
        <v>0</v>
      </c>
      <c r="AC40" s="14">
        <f t="shared" si="16"/>
        <v>117</v>
      </c>
      <c r="AD40" s="14">
        <f t="shared" si="17"/>
        <v>63</v>
      </c>
      <c r="AE40" s="18"/>
      <c r="AF40" s="18"/>
      <c r="AG40" s="18"/>
    </row>
    <row r="41" ht="34.5" customHeight="1" spans="1:33">
      <c r="A41" s="13">
        <v>33</v>
      </c>
      <c r="B41" s="21" t="s">
        <v>426</v>
      </c>
      <c r="C41" s="21" t="s">
        <v>94</v>
      </c>
      <c r="D41" s="13"/>
      <c r="E41" s="13"/>
      <c r="F41" s="13" t="s">
        <v>355</v>
      </c>
      <c r="G41" s="13"/>
      <c r="H41" s="14">
        <f t="shared" si="22"/>
        <v>0</v>
      </c>
      <c r="I41" s="14"/>
      <c r="J41" s="14"/>
      <c r="K41" s="14"/>
      <c r="L41" s="13"/>
      <c r="M41" s="14">
        <f t="shared" si="23"/>
        <v>0</v>
      </c>
      <c r="N41" s="14"/>
      <c r="O41" s="14"/>
      <c r="P41" s="14"/>
      <c r="Q41" s="13" t="s">
        <v>425</v>
      </c>
      <c r="R41" s="14">
        <f t="shared" si="24"/>
        <v>72</v>
      </c>
      <c r="S41" s="14"/>
      <c r="T41" s="14"/>
      <c r="U41" s="14">
        <f>55+17</f>
        <v>72</v>
      </c>
      <c r="V41" s="13"/>
      <c r="W41" s="14"/>
      <c r="X41" s="14"/>
      <c r="Y41" s="14"/>
      <c r="Z41" s="14"/>
      <c r="AA41" s="13" t="s">
        <v>425</v>
      </c>
      <c r="AB41" s="14">
        <f t="shared" si="15"/>
        <v>0</v>
      </c>
      <c r="AC41" s="14">
        <f t="shared" si="16"/>
        <v>0</v>
      </c>
      <c r="AD41" s="14">
        <f t="shared" si="17"/>
        <v>72</v>
      </c>
      <c r="AE41" s="18"/>
      <c r="AF41" s="18"/>
      <c r="AG41" s="18"/>
    </row>
    <row r="42" ht="48.75" customHeight="1" spans="1:33">
      <c r="A42" s="13">
        <v>34</v>
      </c>
      <c r="B42" s="28" t="s">
        <v>427</v>
      </c>
      <c r="C42" s="21" t="s">
        <v>94</v>
      </c>
      <c r="D42" s="13"/>
      <c r="E42" s="13"/>
      <c r="F42" s="13" t="s">
        <v>389</v>
      </c>
      <c r="G42" s="13" t="s">
        <v>392</v>
      </c>
      <c r="H42" s="14">
        <f t="shared" si="22"/>
        <v>36</v>
      </c>
      <c r="I42" s="14"/>
      <c r="J42" s="14">
        <v>36</v>
      </c>
      <c r="K42" s="14"/>
      <c r="L42" s="13" t="s">
        <v>508</v>
      </c>
      <c r="M42" s="14">
        <f t="shared" si="23"/>
        <v>36</v>
      </c>
      <c r="N42" s="14"/>
      <c r="O42" s="14">
        <v>36</v>
      </c>
      <c r="P42" s="14"/>
      <c r="Q42" s="13" t="s">
        <v>425</v>
      </c>
      <c r="R42" s="14">
        <f t="shared" si="24"/>
        <v>89</v>
      </c>
      <c r="S42" s="14"/>
      <c r="T42" s="14">
        <f>35+40</f>
        <v>75</v>
      </c>
      <c r="U42" s="14">
        <f>14</f>
        <v>14</v>
      </c>
      <c r="V42" s="13" t="s">
        <v>507</v>
      </c>
      <c r="W42" s="14"/>
      <c r="X42" s="14"/>
      <c r="Y42" s="14"/>
      <c r="Z42" s="14">
        <v>40.541995</v>
      </c>
      <c r="AA42" s="13" t="s">
        <v>428</v>
      </c>
      <c r="AB42" s="14">
        <f t="shared" ref="AB42:AD42" si="25">N42+S42+X42</f>
        <v>0</v>
      </c>
      <c r="AC42" s="14">
        <f t="shared" si="25"/>
        <v>111</v>
      </c>
      <c r="AD42" s="14">
        <f t="shared" si="25"/>
        <v>54.541995</v>
      </c>
      <c r="AE42" s="18"/>
      <c r="AF42" s="18"/>
      <c r="AG42" s="18"/>
    </row>
    <row r="43" spans="1:11">
      <c r="A43" s="15" t="s">
        <v>191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1:11">
      <c r="K46" s="18"/>
    </row>
  </sheetData>
  <autoFilter ref="A9:K45"/>
  <mergeCells count="39">
    <mergeCell ref="A1:C1"/>
    <mergeCell ref="A2:AD2"/>
    <mergeCell ref="A3:B3"/>
    <mergeCell ref="H3:K3"/>
    <mergeCell ref="L3:P3"/>
    <mergeCell ref="Q3:U3"/>
    <mergeCell ref="V3:Z3"/>
    <mergeCell ref="H4:K4"/>
    <mergeCell ref="M4:P4"/>
    <mergeCell ref="R4:U4"/>
    <mergeCell ref="W4:Z4"/>
    <mergeCell ref="AA4:AD4"/>
    <mergeCell ref="I5:K5"/>
    <mergeCell ref="N5:P5"/>
    <mergeCell ref="S5:U5"/>
    <mergeCell ref="X5:Z5"/>
    <mergeCell ref="AB5:AD5"/>
    <mergeCell ref="I6:K6"/>
    <mergeCell ref="N6:P6"/>
    <mergeCell ref="S6:U6"/>
    <mergeCell ref="X6:Z6"/>
    <mergeCell ref="AB6:AD6"/>
    <mergeCell ref="A8:B8"/>
    <mergeCell ref="A4:A7"/>
    <mergeCell ref="B4:B7"/>
    <mergeCell ref="C4:C7"/>
    <mergeCell ref="D4:D7"/>
    <mergeCell ref="E4:E7"/>
    <mergeCell ref="F4:F7"/>
    <mergeCell ref="G4:G7"/>
    <mergeCell ref="H5:H7"/>
    <mergeCell ref="L4:L7"/>
    <mergeCell ref="M5:M7"/>
    <mergeCell ref="Q4:Q7"/>
    <mergeCell ref="R5:R7"/>
    <mergeCell ref="V4:V7"/>
    <mergeCell ref="W5:W7"/>
    <mergeCell ref="AA5:AA7"/>
    <mergeCell ref="A43:K45"/>
  </mergeCells>
  <pageMargins left="0.707638888888889" right="0.707638888888889" top="0.747916666666667" bottom="0.747916666666667" header="0.313888888888889" footer="0.313888888888889"/>
  <pageSetup paperSize="9" scale="37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Z30"/>
  <sheetViews>
    <sheetView topLeftCell="A8" workbookViewId="0">
      <selection activeCell="J32" sqref="J32"/>
    </sheetView>
  </sheetViews>
  <sheetFormatPr defaultColWidth="9" defaultRowHeight="13.5"/>
  <cols>
    <col min="1" max="1" width="4.25833333333333" customWidth="1"/>
    <col min="2" max="2" width="32.1333333333333" customWidth="1"/>
    <col min="3" max="3" width="14.3833333333333" customWidth="1"/>
    <col min="4" max="5" width="19" customWidth="1"/>
    <col min="6" max="7" width="17.5" customWidth="1"/>
    <col min="8" max="11" width="10.5" customWidth="1"/>
    <col min="12" max="12" width="19.8833333333333" customWidth="1"/>
    <col min="13" max="16" width="9.75833333333333" customWidth="1"/>
    <col min="17" max="17" width="15.2583333333333" customWidth="1"/>
    <col min="21" max="21" width="14.2583333333333" customWidth="1"/>
    <col min="23" max="23" width="10.2583333333333" customWidth="1"/>
    <col min="26" max="26" width="10.2583333333333" customWidth="1"/>
  </cols>
  <sheetData>
    <row r="1" ht="26.25" customHeight="1" spans="1:3">
      <c r="A1" s="2" t="s">
        <v>77</v>
      </c>
      <c r="B1" s="2"/>
      <c r="C1" s="2"/>
    </row>
    <row r="2" ht="26.25" customHeight="1" spans="1:11">
      <c r="A2" s="3" t="s">
        <v>78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6.25" customHeight="1" spans="1:11">
      <c r="A3" s="4" t="s">
        <v>58</v>
      </c>
      <c r="B3" s="4"/>
      <c r="C3" s="5"/>
      <c r="D3" s="5" t="s">
        <v>59</v>
      </c>
      <c r="E3" s="5"/>
      <c r="F3" s="3"/>
      <c r="G3" s="3"/>
      <c r="H3" s="3"/>
      <c r="I3" s="3"/>
      <c r="J3" s="3"/>
      <c r="K3" s="3"/>
    </row>
    <row r="4" ht="19.5" customHeight="1" spans="1:26">
      <c r="A4" s="6" t="s">
        <v>3</v>
      </c>
      <c r="B4" s="6" t="s">
        <v>4</v>
      </c>
      <c r="C4" s="6" t="s">
        <v>5</v>
      </c>
      <c r="D4" s="6" t="s">
        <v>6</v>
      </c>
      <c r="E4" s="6" t="s">
        <v>79</v>
      </c>
      <c r="F4" s="6" t="s">
        <v>7</v>
      </c>
      <c r="G4" s="6" t="s">
        <v>80</v>
      </c>
      <c r="H4" s="7" t="s">
        <v>8</v>
      </c>
      <c r="I4" s="16"/>
      <c r="J4" s="16"/>
      <c r="K4" s="16"/>
      <c r="L4" s="6" t="s">
        <v>80</v>
      </c>
      <c r="M4" s="7" t="s">
        <v>8</v>
      </c>
      <c r="N4" s="16"/>
      <c r="O4" s="16"/>
      <c r="P4" s="16"/>
      <c r="Q4" s="6" t="s">
        <v>80</v>
      </c>
      <c r="R4" s="7" t="s">
        <v>8</v>
      </c>
      <c r="S4" s="16"/>
      <c r="T4" s="16"/>
      <c r="U4" s="16"/>
      <c r="V4" s="6" t="s">
        <v>80</v>
      </c>
      <c r="W4" s="7" t="s">
        <v>8</v>
      </c>
      <c r="X4" s="16"/>
      <c r="Y4" s="16"/>
      <c r="Z4" s="16"/>
    </row>
    <row r="5" ht="19.5" customHeight="1" spans="1:26">
      <c r="A5" s="8"/>
      <c r="B5" s="8"/>
      <c r="C5" s="8"/>
      <c r="D5" s="8"/>
      <c r="E5" s="8"/>
      <c r="F5" s="8"/>
      <c r="G5" s="8"/>
      <c r="H5" s="9" t="s">
        <v>16</v>
      </c>
      <c r="I5" s="17" t="s">
        <v>17</v>
      </c>
      <c r="J5" s="16"/>
      <c r="K5" s="16"/>
      <c r="L5" s="8"/>
      <c r="M5" s="9" t="s">
        <v>16</v>
      </c>
      <c r="N5" s="17" t="s">
        <v>17</v>
      </c>
      <c r="O5" s="16"/>
      <c r="P5" s="16"/>
      <c r="Q5" s="8"/>
      <c r="R5" s="9" t="s">
        <v>16</v>
      </c>
      <c r="S5" s="17" t="s">
        <v>17</v>
      </c>
      <c r="T5" s="16"/>
      <c r="U5" s="16"/>
      <c r="V5" s="8"/>
      <c r="W5" s="9" t="s">
        <v>16</v>
      </c>
      <c r="X5" s="17" t="s">
        <v>17</v>
      </c>
      <c r="Y5" s="16"/>
      <c r="Z5" s="16"/>
    </row>
    <row r="6" ht="19.5" customHeight="1" spans="1:26">
      <c r="A6" s="8"/>
      <c r="B6" s="8"/>
      <c r="C6" s="8"/>
      <c r="D6" s="8"/>
      <c r="E6" s="8"/>
      <c r="F6" s="8"/>
      <c r="G6" s="8"/>
      <c r="H6" s="10"/>
      <c r="I6" s="9" t="s">
        <v>81</v>
      </c>
      <c r="J6" s="10"/>
      <c r="K6" s="10"/>
      <c r="L6" s="8"/>
      <c r="M6" s="10"/>
      <c r="N6" s="9" t="s">
        <v>81</v>
      </c>
      <c r="O6" s="10"/>
      <c r="P6" s="10"/>
      <c r="Q6" s="8"/>
      <c r="R6" s="10"/>
      <c r="S6" s="9" t="s">
        <v>81</v>
      </c>
      <c r="T6" s="10"/>
      <c r="U6" s="10"/>
      <c r="V6" s="8"/>
      <c r="W6" s="10"/>
      <c r="X6" s="9" t="s">
        <v>81</v>
      </c>
      <c r="Y6" s="10"/>
      <c r="Z6" s="10"/>
    </row>
    <row r="7" ht="49.9" customHeight="1" spans="1:26">
      <c r="A7" s="11"/>
      <c r="B7" s="11"/>
      <c r="C7" s="11"/>
      <c r="D7" s="11"/>
      <c r="E7" s="11"/>
      <c r="F7" s="11"/>
      <c r="G7" s="11"/>
      <c r="H7" s="10"/>
      <c r="I7" s="9" t="s">
        <v>25</v>
      </c>
      <c r="J7" s="9" t="s">
        <v>26</v>
      </c>
      <c r="K7" s="9" t="s">
        <v>27</v>
      </c>
      <c r="L7" s="11"/>
      <c r="M7" s="10"/>
      <c r="N7" s="9" t="s">
        <v>25</v>
      </c>
      <c r="O7" s="9" t="s">
        <v>26</v>
      </c>
      <c r="P7" s="9" t="s">
        <v>27</v>
      </c>
      <c r="Q7" s="11"/>
      <c r="R7" s="10"/>
      <c r="S7" s="9" t="s">
        <v>25</v>
      </c>
      <c r="T7" s="9" t="s">
        <v>26</v>
      </c>
      <c r="U7" s="9" t="s">
        <v>27</v>
      </c>
      <c r="V7" s="11"/>
      <c r="W7" s="10"/>
      <c r="X7" s="9" t="s">
        <v>25</v>
      </c>
      <c r="Y7" s="9" t="s">
        <v>26</v>
      </c>
      <c r="Z7" s="9" t="s">
        <v>27</v>
      </c>
    </row>
    <row r="8" s="1" customFormat="1" ht="24" customHeight="1" spans="1:26">
      <c r="A8" s="17" t="s">
        <v>16</v>
      </c>
      <c r="B8" s="20"/>
      <c r="C8" s="9"/>
      <c r="D8" s="9"/>
      <c r="E8" s="9"/>
      <c r="F8" s="9"/>
      <c r="G8" s="9"/>
      <c r="H8" s="12">
        <f>I8+J8+K8</f>
        <v>2625</v>
      </c>
      <c r="I8" s="12">
        <f t="shared" ref="I8:K8" si="0">SUM(I9:I27)</f>
        <v>775</v>
      </c>
      <c r="J8" s="12">
        <f t="shared" si="0"/>
        <v>750</v>
      </c>
      <c r="K8" s="12">
        <f t="shared" si="0"/>
        <v>1100</v>
      </c>
      <c r="L8" s="9"/>
      <c r="M8" s="12">
        <f>N8+O8+P8</f>
        <v>0</v>
      </c>
      <c r="N8" s="12">
        <f t="shared" ref="N8:P8" si="1">SUM(N9:N27)</f>
        <v>0</v>
      </c>
      <c r="O8" s="12">
        <f t="shared" si="1"/>
        <v>0</v>
      </c>
      <c r="P8" s="12">
        <f t="shared" si="1"/>
        <v>0</v>
      </c>
      <c r="Q8" s="9"/>
      <c r="R8" s="12">
        <f>S8+T8+U8</f>
        <v>-1.93364069331001e-15</v>
      </c>
      <c r="S8" s="12">
        <f t="shared" ref="S8:U8" si="2">SUM(S9:S27)</f>
        <v>0</v>
      </c>
      <c r="T8" s="12">
        <f t="shared" si="2"/>
        <v>0</v>
      </c>
      <c r="U8" s="12">
        <f t="shared" si="2"/>
        <v>-1.93364069331001e-15</v>
      </c>
      <c r="V8" s="9"/>
      <c r="W8" s="12">
        <f>X8+Y8+Z8</f>
        <v>2625</v>
      </c>
      <c r="X8" s="12">
        <f t="shared" ref="X8:Z8" si="3">SUM(X9:X27)</f>
        <v>775</v>
      </c>
      <c r="Y8" s="12">
        <f t="shared" si="3"/>
        <v>750</v>
      </c>
      <c r="Z8" s="12">
        <f t="shared" si="3"/>
        <v>1100</v>
      </c>
    </row>
    <row r="9" ht="24" customHeight="1" spans="1:26">
      <c r="A9" s="13">
        <v>9</v>
      </c>
      <c r="B9" s="13" t="s">
        <v>105</v>
      </c>
      <c r="C9" s="13" t="s">
        <v>106</v>
      </c>
      <c r="D9" s="13"/>
      <c r="E9" s="13"/>
      <c r="F9" s="13" t="s">
        <v>98</v>
      </c>
      <c r="G9" s="13" t="s">
        <v>107</v>
      </c>
      <c r="H9" s="14">
        <f t="shared" ref="H9:H13" si="4">I9+J9+K9</f>
        <v>1150</v>
      </c>
      <c r="I9" s="14"/>
      <c r="J9" s="14">
        <v>340</v>
      </c>
      <c r="K9" s="14">
        <v>810</v>
      </c>
      <c r="L9" s="13"/>
      <c r="M9" s="14">
        <f>N9+O9+P9</f>
        <v>0</v>
      </c>
      <c r="N9" s="14"/>
      <c r="O9" s="14"/>
      <c r="P9" s="14"/>
      <c r="Q9" s="13"/>
      <c r="R9" s="14">
        <f>S9+T9+U9</f>
        <v>0</v>
      </c>
      <c r="S9" s="14"/>
      <c r="T9" s="14"/>
      <c r="U9" s="14"/>
      <c r="V9" s="13"/>
      <c r="W9" s="14">
        <f>X9+Y9+Z9</f>
        <v>1150</v>
      </c>
      <c r="X9" s="14">
        <f>I9+N9+S9</f>
        <v>0</v>
      </c>
      <c r="Y9" s="14">
        <f t="shared" ref="Y9:Z9" si="5">J9+O9+T9</f>
        <v>340</v>
      </c>
      <c r="Z9" s="14">
        <f t="shared" si="5"/>
        <v>810</v>
      </c>
    </row>
    <row r="10" s="19" customFormat="1" ht="24" customHeight="1" spans="1:26">
      <c r="A10" s="21"/>
      <c r="B10" s="21" t="s">
        <v>516</v>
      </c>
      <c r="C10" s="21" t="s">
        <v>106</v>
      </c>
      <c r="D10" s="21"/>
      <c r="E10" s="21"/>
      <c r="F10" s="21" t="s">
        <v>166</v>
      </c>
      <c r="G10" s="21" t="s">
        <v>517</v>
      </c>
      <c r="H10" s="22"/>
      <c r="I10" s="22">
        <v>425</v>
      </c>
      <c r="J10" s="22"/>
      <c r="K10" s="22"/>
      <c r="L10" s="21" t="s">
        <v>518</v>
      </c>
      <c r="M10" s="22"/>
      <c r="N10" s="22">
        <v>-425</v>
      </c>
      <c r="O10" s="22"/>
      <c r="P10" s="22"/>
      <c r="Q10" s="21"/>
      <c r="R10" s="22"/>
      <c r="S10" s="22"/>
      <c r="T10" s="22"/>
      <c r="U10" s="22"/>
      <c r="V10" s="21"/>
      <c r="W10" s="22"/>
      <c r="X10" s="14">
        <f t="shared" ref="X10:X27" si="6">I10+N10+S10</f>
        <v>0</v>
      </c>
      <c r="Y10" s="14">
        <f t="shared" ref="Y10:Y27" si="7">J10+O10+T10</f>
        <v>0</v>
      </c>
      <c r="Z10" s="14">
        <f t="shared" ref="Z10:Z27" si="8">K10+P10+U10</f>
        <v>0</v>
      </c>
    </row>
    <row r="11" ht="24" customHeight="1" spans="1:26">
      <c r="A11" s="13">
        <v>10</v>
      </c>
      <c r="B11" s="13" t="s">
        <v>108</v>
      </c>
      <c r="C11" s="13" t="s">
        <v>106</v>
      </c>
      <c r="D11" s="13"/>
      <c r="E11" s="13"/>
      <c r="F11" s="13" t="s">
        <v>109</v>
      </c>
      <c r="G11" s="13" t="s">
        <v>110</v>
      </c>
      <c r="H11" s="14">
        <f t="shared" si="4"/>
        <v>29.4</v>
      </c>
      <c r="I11" s="14"/>
      <c r="J11" s="14">
        <v>29.4</v>
      </c>
      <c r="K11" s="14"/>
      <c r="L11" s="13"/>
      <c r="M11" s="14">
        <f t="shared" ref="M11:M27" si="9">N11+O11+P11</f>
        <v>0</v>
      </c>
      <c r="N11" s="14"/>
      <c r="O11" s="14"/>
      <c r="P11" s="14"/>
      <c r="Q11" s="13"/>
      <c r="R11" s="14">
        <f t="shared" ref="R11:R27" si="10">S11+T11+U11</f>
        <v>0</v>
      </c>
      <c r="S11" s="14"/>
      <c r="T11" s="14"/>
      <c r="U11" s="14"/>
      <c r="V11" s="13"/>
      <c r="W11" s="14">
        <f t="shared" ref="W11:W27" si="11">X11+Y11+Z11</f>
        <v>29.4</v>
      </c>
      <c r="X11" s="14">
        <f t="shared" si="6"/>
        <v>0</v>
      </c>
      <c r="Y11" s="14">
        <f t="shared" si="7"/>
        <v>29.4</v>
      </c>
      <c r="Z11" s="14">
        <f t="shared" si="8"/>
        <v>0</v>
      </c>
    </row>
    <row r="12" ht="33.75" customHeight="1" spans="1:26">
      <c r="A12" s="13">
        <v>11</v>
      </c>
      <c r="B12" s="13" t="s">
        <v>111</v>
      </c>
      <c r="C12" s="13" t="s">
        <v>106</v>
      </c>
      <c r="D12" s="13"/>
      <c r="E12" s="13"/>
      <c r="F12" s="13" t="s">
        <v>109</v>
      </c>
      <c r="G12" s="13" t="s">
        <v>112</v>
      </c>
      <c r="H12" s="14">
        <f t="shared" si="4"/>
        <v>175</v>
      </c>
      <c r="I12" s="14"/>
      <c r="J12" s="14">
        <v>175</v>
      </c>
      <c r="K12" s="14"/>
      <c r="L12" s="13" t="s">
        <v>518</v>
      </c>
      <c r="M12" s="14">
        <f t="shared" si="9"/>
        <v>475</v>
      </c>
      <c r="N12" s="14">
        <f>425+25</f>
        <v>450</v>
      </c>
      <c r="O12" s="14">
        <v>25</v>
      </c>
      <c r="P12" s="14"/>
      <c r="Q12" s="13"/>
      <c r="R12" s="14">
        <f t="shared" si="10"/>
        <v>0</v>
      </c>
      <c r="S12" s="14"/>
      <c r="T12" s="14"/>
      <c r="U12" s="14"/>
      <c r="V12" s="13"/>
      <c r="W12" s="14">
        <f t="shared" si="11"/>
        <v>650</v>
      </c>
      <c r="X12" s="14">
        <f t="shared" si="6"/>
        <v>450</v>
      </c>
      <c r="Y12" s="14">
        <f t="shared" si="7"/>
        <v>200</v>
      </c>
      <c r="Z12" s="14">
        <f t="shared" si="8"/>
        <v>0</v>
      </c>
    </row>
    <row r="13" ht="43.5" customHeight="1" spans="1:26">
      <c r="A13" s="13">
        <v>12</v>
      </c>
      <c r="B13" s="13" t="s">
        <v>113</v>
      </c>
      <c r="C13" s="13" t="s">
        <v>106</v>
      </c>
      <c r="D13" s="13"/>
      <c r="E13" s="13"/>
      <c r="F13" s="13" t="s">
        <v>114</v>
      </c>
      <c r="G13" s="13" t="s">
        <v>115</v>
      </c>
      <c r="H13" s="14">
        <f t="shared" si="4"/>
        <v>100</v>
      </c>
      <c r="I13" s="14">
        <v>100</v>
      </c>
      <c r="J13" s="14"/>
      <c r="K13" s="14"/>
      <c r="L13" s="13" t="s">
        <v>518</v>
      </c>
      <c r="M13" s="14">
        <f t="shared" si="9"/>
        <v>-25</v>
      </c>
      <c r="N13" s="14">
        <v>-25</v>
      </c>
      <c r="O13" s="14"/>
      <c r="P13" s="14"/>
      <c r="Q13" s="13" t="s">
        <v>519</v>
      </c>
      <c r="R13" s="14">
        <f t="shared" si="10"/>
        <v>9.959336</v>
      </c>
      <c r="S13" s="14">
        <v>3.497771</v>
      </c>
      <c r="T13" s="14"/>
      <c r="U13" s="14">
        <f>4.48273+1.978835</f>
        <v>6.461565</v>
      </c>
      <c r="V13" s="13"/>
      <c r="W13" s="14">
        <f t="shared" si="11"/>
        <v>84.959336</v>
      </c>
      <c r="X13" s="14">
        <f t="shared" si="6"/>
        <v>78.497771</v>
      </c>
      <c r="Y13" s="14">
        <f t="shared" si="7"/>
        <v>0</v>
      </c>
      <c r="Z13" s="14">
        <f t="shared" si="8"/>
        <v>6.461565</v>
      </c>
    </row>
    <row r="14" ht="24" customHeight="1" spans="1:26">
      <c r="A14" s="13">
        <v>10</v>
      </c>
      <c r="B14" s="13" t="s">
        <v>155</v>
      </c>
      <c r="C14" s="13" t="s">
        <v>106</v>
      </c>
      <c r="D14" s="13"/>
      <c r="E14" s="13"/>
      <c r="F14" s="13" t="s">
        <v>114</v>
      </c>
      <c r="G14" s="13" t="s">
        <v>156</v>
      </c>
      <c r="H14" s="14">
        <f t="shared" ref="H14:H27" si="12">I14+J14+K14</f>
        <v>100</v>
      </c>
      <c r="I14" s="14">
        <v>100</v>
      </c>
      <c r="J14" s="14"/>
      <c r="K14" s="14"/>
      <c r="L14" s="13"/>
      <c r="M14" s="14">
        <f t="shared" si="9"/>
        <v>0</v>
      </c>
      <c r="N14" s="14"/>
      <c r="O14" s="14"/>
      <c r="P14" s="14"/>
      <c r="Q14" s="13" t="s">
        <v>519</v>
      </c>
      <c r="R14" s="14">
        <f t="shared" si="10"/>
        <v>4.818793</v>
      </c>
      <c r="S14" s="14"/>
      <c r="T14" s="14"/>
      <c r="U14" s="14">
        <v>4.818793</v>
      </c>
      <c r="V14" s="13"/>
      <c r="W14" s="14">
        <f t="shared" si="11"/>
        <v>104.818793</v>
      </c>
      <c r="X14" s="14">
        <f t="shared" si="6"/>
        <v>100</v>
      </c>
      <c r="Y14" s="14">
        <f t="shared" si="7"/>
        <v>0</v>
      </c>
      <c r="Z14" s="14">
        <f t="shared" si="8"/>
        <v>4.818793</v>
      </c>
    </row>
    <row r="15" ht="24" customHeight="1" spans="1:26">
      <c r="A15" s="13">
        <v>11</v>
      </c>
      <c r="B15" s="13" t="s">
        <v>157</v>
      </c>
      <c r="C15" s="13" t="s">
        <v>106</v>
      </c>
      <c r="D15" s="13"/>
      <c r="E15" s="13"/>
      <c r="F15" s="13" t="s">
        <v>98</v>
      </c>
      <c r="G15" s="13" t="s">
        <v>158</v>
      </c>
      <c r="H15" s="14">
        <f t="shared" si="12"/>
        <v>40</v>
      </c>
      <c r="I15" s="14"/>
      <c r="J15" s="14"/>
      <c r="K15" s="14">
        <v>40</v>
      </c>
      <c r="L15" s="13"/>
      <c r="M15" s="14">
        <f t="shared" si="9"/>
        <v>0</v>
      </c>
      <c r="N15" s="14"/>
      <c r="O15" s="14"/>
      <c r="P15" s="14"/>
      <c r="Q15" s="13" t="s">
        <v>519</v>
      </c>
      <c r="R15" s="14">
        <f t="shared" si="10"/>
        <v>-4.48273</v>
      </c>
      <c r="S15" s="14"/>
      <c r="T15" s="14"/>
      <c r="U15" s="14">
        <v>-4.48273</v>
      </c>
      <c r="V15" s="13"/>
      <c r="W15" s="14">
        <f t="shared" si="11"/>
        <v>35.51727</v>
      </c>
      <c r="X15" s="14">
        <f t="shared" si="6"/>
        <v>0</v>
      </c>
      <c r="Y15" s="14">
        <f t="shared" si="7"/>
        <v>0</v>
      </c>
      <c r="Z15" s="14">
        <f t="shared" si="8"/>
        <v>35.51727</v>
      </c>
    </row>
    <row r="16" ht="24" customHeight="1" spans="1:26">
      <c r="A16" s="13">
        <v>12</v>
      </c>
      <c r="B16" s="13" t="s">
        <v>159</v>
      </c>
      <c r="C16" s="13" t="s">
        <v>106</v>
      </c>
      <c r="D16" s="13"/>
      <c r="E16" s="13"/>
      <c r="F16" s="13" t="s">
        <v>98</v>
      </c>
      <c r="G16" s="13" t="s">
        <v>158</v>
      </c>
      <c r="H16" s="14">
        <f t="shared" si="12"/>
        <v>310</v>
      </c>
      <c r="I16" s="14"/>
      <c r="J16" s="14">
        <v>60</v>
      </c>
      <c r="K16" s="14">
        <v>250</v>
      </c>
      <c r="L16" s="13"/>
      <c r="M16" s="14">
        <f t="shared" si="9"/>
        <v>0</v>
      </c>
      <c r="N16" s="14"/>
      <c r="O16" s="14"/>
      <c r="P16" s="14"/>
      <c r="Q16" s="13" t="s">
        <v>519</v>
      </c>
      <c r="R16" s="14">
        <f t="shared" si="10"/>
        <v>-28.605125</v>
      </c>
      <c r="S16" s="14"/>
      <c r="T16" s="14"/>
      <c r="U16" s="14">
        <v>-28.605125</v>
      </c>
      <c r="V16" s="13"/>
      <c r="W16" s="14">
        <f t="shared" si="11"/>
        <v>281.394875</v>
      </c>
      <c r="X16" s="14">
        <f t="shared" si="6"/>
        <v>0</v>
      </c>
      <c r="Y16" s="14">
        <f t="shared" si="7"/>
        <v>60</v>
      </c>
      <c r="Z16" s="14">
        <f t="shared" si="8"/>
        <v>221.394875</v>
      </c>
    </row>
    <row r="17" ht="43.5" customHeight="1" spans="1:26">
      <c r="A17" s="13">
        <v>13</v>
      </c>
      <c r="B17" s="13" t="s">
        <v>160</v>
      </c>
      <c r="C17" s="13" t="s">
        <v>106</v>
      </c>
      <c r="D17" s="13"/>
      <c r="E17" s="13"/>
      <c r="F17" s="13" t="s">
        <v>109</v>
      </c>
      <c r="G17" s="13" t="s">
        <v>161</v>
      </c>
      <c r="H17" s="14">
        <f t="shared" si="12"/>
        <v>95</v>
      </c>
      <c r="I17" s="14"/>
      <c r="J17" s="14">
        <v>95</v>
      </c>
      <c r="K17" s="14"/>
      <c r="L17" s="13" t="s">
        <v>518</v>
      </c>
      <c r="M17" s="14">
        <f t="shared" si="9"/>
        <v>-25</v>
      </c>
      <c r="N17" s="14"/>
      <c r="O17" s="14">
        <v>-25</v>
      </c>
      <c r="P17" s="14"/>
      <c r="Q17" s="13" t="s">
        <v>519</v>
      </c>
      <c r="R17" s="14">
        <f t="shared" si="10"/>
        <v>16.971013</v>
      </c>
      <c r="S17" s="14"/>
      <c r="T17" s="14"/>
      <c r="U17" s="14">
        <f>16.970976+0.000037</f>
        <v>16.971013</v>
      </c>
      <c r="V17" s="13"/>
      <c r="W17" s="14">
        <f t="shared" si="11"/>
        <v>86.971013</v>
      </c>
      <c r="X17" s="14">
        <f t="shared" si="6"/>
        <v>0</v>
      </c>
      <c r="Y17" s="14">
        <f t="shared" si="7"/>
        <v>70</v>
      </c>
      <c r="Z17" s="14">
        <f t="shared" si="8"/>
        <v>16.971013</v>
      </c>
    </row>
    <row r="18" ht="24" customHeight="1" spans="1:26">
      <c r="A18" s="13">
        <v>14</v>
      </c>
      <c r="B18" s="13" t="s">
        <v>162</v>
      </c>
      <c r="C18" s="13" t="s">
        <v>106</v>
      </c>
      <c r="D18" s="13"/>
      <c r="E18" s="13"/>
      <c r="F18" s="13" t="s">
        <v>109</v>
      </c>
      <c r="G18" s="13" t="s">
        <v>163</v>
      </c>
      <c r="H18" s="14">
        <f t="shared" si="12"/>
        <v>25</v>
      </c>
      <c r="I18" s="14"/>
      <c r="J18" s="14">
        <v>25</v>
      </c>
      <c r="K18" s="14"/>
      <c r="L18" s="13"/>
      <c r="M18" s="14">
        <f t="shared" si="9"/>
        <v>0</v>
      </c>
      <c r="N18" s="14"/>
      <c r="O18" s="14"/>
      <c r="P18" s="14"/>
      <c r="Q18" s="13" t="s">
        <v>519</v>
      </c>
      <c r="R18" s="14">
        <f t="shared" si="10"/>
        <v>0.407345</v>
      </c>
      <c r="S18" s="14"/>
      <c r="T18" s="14"/>
      <c r="U18" s="14">
        <v>0.407345</v>
      </c>
      <c r="V18" s="13"/>
      <c r="W18" s="14">
        <f t="shared" si="11"/>
        <v>25.407345</v>
      </c>
      <c r="X18" s="14">
        <f t="shared" si="6"/>
        <v>0</v>
      </c>
      <c r="Y18" s="14">
        <f t="shared" si="7"/>
        <v>25</v>
      </c>
      <c r="Z18" s="14">
        <f t="shared" si="8"/>
        <v>0.407345</v>
      </c>
    </row>
    <row r="19" ht="24" customHeight="1" spans="1:26">
      <c r="A19" s="13">
        <v>15</v>
      </c>
      <c r="B19" s="13" t="s">
        <v>164</v>
      </c>
      <c r="C19" s="13" t="s">
        <v>106</v>
      </c>
      <c r="D19" s="13"/>
      <c r="E19" s="13"/>
      <c r="F19" s="13" t="s">
        <v>109</v>
      </c>
      <c r="G19" s="13" t="s">
        <v>163</v>
      </c>
      <c r="H19" s="14">
        <f t="shared" si="12"/>
        <v>25.6</v>
      </c>
      <c r="I19" s="14"/>
      <c r="J19" s="14">
        <v>25.6</v>
      </c>
      <c r="K19" s="14"/>
      <c r="L19" s="13"/>
      <c r="M19" s="14">
        <f t="shared" si="9"/>
        <v>0</v>
      </c>
      <c r="N19" s="14"/>
      <c r="O19" s="14"/>
      <c r="P19" s="14"/>
      <c r="Q19" s="13" t="s">
        <v>519</v>
      </c>
      <c r="R19" s="14">
        <f t="shared" si="10"/>
        <v>4.429176</v>
      </c>
      <c r="S19" s="14"/>
      <c r="T19" s="14"/>
      <c r="U19" s="14">
        <v>4.429176</v>
      </c>
      <c r="V19" s="13"/>
      <c r="W19" s="14">
        <f t="shared" si="11"/>
        <v>30.029176</v>
      </c>
      <c r="X19" s="14">
        <f t="shared" si="6"/>
        <v>0</v>
      </c>
      <c r="Y19" s="14">
        <f t="shared" si="7"/>
        <v>25.6</v>
      </c>
      <c r="Z19" s="14">
        <f t="shared" si="8"/>
        <v>4.429176</v>
      </c>
    </row>
    <row r="20" ht="24" customHeight="1" spans="1:26">
      <c r="A20" s="13">
        <v>16</v>
      </c>
      <c r="B20" s="13" t="s">
        <v>165</v>
      </c>
      <c r="C20" s="13" t="s">
        <v>106</v>
      </c>
      <c r="D20" s="13"/>
      <c r="E20" s="13"/>
      <c r="F20" s="13" t="s">
        <v>166</v>
      </c>
      <c r="G20" s="13" t="s">
        <v>167</v>
      </c>
      <c r="H20" s="14">
        <f t="shared" si="12"/>
        <v>10.41</v>
      </c>
      <c r="I20" s="14">
        <v>10.41</v>
      </c>
      <c r="J20" s="14"/>
      <c r="K20" s="14"/>
      <c r="L20" s="13"/>
      <c r="M20" s="14">
        <f t="shared" si="9"/>
        <v>0</v>
      </c>
      <c r="N20" s="14"/>
      <c r="O20" s="14"/>
      <c r="P20" s="14"/>
      <c r="Q20" s="13"/>
      <c r="R20" s="14">
        <f t="shared" si="10"/>
        <v>0</v>
      </c>
      <c r="S20" s="14"/>
      <c r="T20" s="14"/>
      <c r="U20" s="14"/>
      <c r="V20" s="13"/>
      <c r="W20" s="14">
        <f t="shared" si="11"/>
        <v>10.41</v>
      </c>
      <c r="X20" s="14">
        <f t="shared" si="6"/>
        <v>10.41</v>
      </c>
      <c r="Y20" s="14">
        <f t="shared" si="7"/>
        <v>0</v>
      </c>
      <c r="Z20" s="14">
        <f t="shared" si="8"/>
        <v>0</v>
      </c>
    </row>
    <row r="21" ht="24" customHeight="1" spans="1:26">
      <c r="A21" s="13">
        <v>17</v>
      </c>
      <c r="B21" s="13" t="s">
        <v>168</v>
      </c>
      <c r="C21" s="13" t="s">
        <v>106</v>
      </c>
      <c r="D21" s="13"/>
      <c r="E21" s="13"/>
      <c r="F21" s="13" t="s">
        <v>166</v>
      </c>
      <c r="G21" s="13" t="s">
        <v>167</v>
      </c>
      <c r="H21" s="14">
        <f t="shared" si="12"/>
        <v>12.75</v>
      </c>
      <c r="I21" s="14">
        <v>12.75</v>
      </c>
      <c r="J21" s="14"/>
      <c r="K21" s="14"/>
      <c r="L21" s="13"/>
      <c r="M21" s="14">
        <f t="shared" si="9"/>
        <v>0</v>
      </c>
      <c r="N21" s="14"/>
      <c r="O21" s="14"/>
      <c r="P21" s="14"/>
      <c r="Q21" s="13"/>
      <c r="R21" s="14">
        <f t="shared" si="10"/>
        <v>0</v>
      </c>
      <c r="S21" s="14"/>
      <c r="T21" s="14"/>
      <c r="U21" s="14"/>
      <c r="V21" s="13"/>
      <c r="W21" s="14">
        <f t="shared" si="11"/>
        <v>12.75</v>
      </c>
      <c r="X21" s="14">
        <f t="shared" si="6"/>
        <v>12.75</v>
      </c>
      <c r="Y21" s="14">
        <f t="shared" si="7"/>
        <v>0</v>
      </c>
      <c r="Z21" s="14">
        <f t="shared" si="8"/>
        <v>0</v>
      </c>
    </row>
    <row r="22" ht="24" customHeight="1" spans="1:26">
      <c r="A22" s="13">
        <v>18</v>
      </c>
      <c r="B22" s="13" t="s">
        <v>169</v>
      </c>
      <c r="C22" s="13" t="s">
        <v>106</v>
      </c>
      <c r="D22" s="13"/>
      <c r="E22" s="13"/>
      <c r="F22" s="13" t="s">
        <v>166</v>
      </c>
      <c r="G22" s="13" t="s">
        <v>170</v>
      </c>
      <c r="H22" s="14">
        <f t="shared" si="12"/>
        <v>45.12</v>
      </c>
      <c r="I22" s="14">
        <v>45.12</v>
      </c>
      <c r="J22" s="14"/>
      <c r="K22" s="14"/>
      <c r="L22" s="13"/>
      <c r="M22" s="14">
        <f t="shared" si="9"/>
        <v>0</v>
      </c>
      <c r="N22" s="14"/>
      <c r="O22" s="14"/>
      <c r="P22" s="14"/>
      <c r="Q22" s="13" t="s">
        <v>519</v>
      </c>
      <c r="R22" s="14">
        <f t="shared" si="10"/>
        <v>-0.19014</v>
      </c>
      <c r="S22" s="14">
        <v>-0.19014</v>
      </c>
      <c r="T22" s="14"/>
      <c r="U22" s="14"/>
      <c r="V22" s="13"/>
      <c r="W22" s="14">
        <f t="shared" si="11"/>
        <v>44.92986</v>
      </c>
      <c r="X22" s="14">
        <f t="shared" si="6"/>
        <v>44.92986</v>
      </c>
      <c r="Y22" s="14">
        <f t="shared" si="7"/>
        <v>0</v>
      </c>
      <c r="Z22" s="14">
        <f t="shared" si="8"/>
        <v>0</v>
      </c>
    </row>
    <row r="23" ht="24" customHeight="1" spans="1:26">
      <c r="A23" s="13">
        <v>19</v>
      </c>
      <c r="B23" s="13" t="s">
        <v>171</v>
      </c>
      <c r="C23" s="13" t="s">
        <v>106</v>
      </c>
      <c r="D23" s="13"/>
      <c r="E23" s="13"/>
      <c r="F23" s="13" t="s">
        <v>166</v>
      </c>
      <c r="G23" s="13" t="s">
        <v>170</v>
      </c>
      <c r="H23" s="14">
        <f t="shared" si="12"/>
        <v>10.35</v>
      </c>
      <c r="I23" s="14">
        <v>10.35</v>
      </c>
      <c r="J23" s="14"/>
      <c r="K23" s="14"/>
      <c r="L23" s="13"/>
      <c r="M23" s="14">
        <f t="shared" si="9"/>
        <v>0</v>
      </c>
      <c r="N23" s="14"/>
      <c r="O23" s="14"/>
      <c r="P23" s="14"/>
      <c r="Q23" s="13" t="s">
        <v>519</v>
      </c>
      <c r="R23" s="14">
        <f t="shared" si="10"/>
        <v>-1e-5</v>
      </c>
      <c r="S23" s="14"/>
      <c r="T23" s="14"/>
      <c r="U23" s="14">
        <v>-1e-5</v>
      </c>
      <c r="V23" s="13"/>
      <c r="W23" s="14">
        <f t="shared" si="11"/>
        <v>10.34999</v>
      </c>
      <c r="X23" s="14">
        <f t="shared" si="6"/>
        <v>10.35</v>
      </c>
      <c r="Y23" s="14">
        <f t="shared" si="7"/>
        <v>0</v>
      </c>
      <c r="Z23" s="14">
        <f t="shared" si="8"/>
        <v>-1e-5</v>
      </c>
    </row>
    <row r="24" ht="24" customHeight="1" spans="1:26">
      <c r="A24" s="13">
        <v>20</v>
      </c>
      <c r="B24" s="13" t="s">
        <v>172</v>
      </c>
      <c r="C24" s="13" t="s">
        <v>106</v>
      </c>
      <c r="D24" s="13"/>
      <c r="E24" s="13"/>
      <c r="F24" s="13" t="s">
        <v>166</v>
      </c>
      <c r="G24" s="13" t="s">
        <v>170</v>
      </c>
      <c r="H24" s="14">
        <f t="shared" si="12"/>
        <v>27.09</v>
      </c>
      <c r="I24" s="14">
        <v>27.09</v>
      </c>
      <c r="J24" s="14"/>
      <c r="K24" s="14"/>
      <c r="L24" s="13"/>
      <c r="M24" s="14">
        <f t="shared" si="9"/>
        <v>0</v>
      </c>
      <c r="N24" s="14"/>
      <c r="O24" s="14"/>
      <c r="P24" s="14"/>
      <c r="Q24" s="13" t="s">
        <v>519</v>
      </c>
      <c r="R24" s="14">
        <f t="shared" si="10"/>
        <v>-1e-5</v>
      </c>
      <c r="S24" s="14"/>
      <c r="T24" s="14"/>
      <c r="U24" s="14">
        <v>-1e-5</v>
      </c>
      <c r="V24" s="13"/>
      <c r="W24" s="14">
        <f t="shared" si="11"/>
        <v>27.08999</v>
      </c>
      <c r="X24" s="14">
        <f t="shared" si="6"/>
        <v>27.09</v>
      </c>
      <c r="Y24" s="14">
        <f t="shared" si="7"/>
        <v>0</v>
      </c>
      <c r="Z24" s="14">
        <f t="shared" si="8"/>
        <v>-1e-5</v>
      </c>
    </row>
    <row r="25" ht="24" customHeight="1" spans="1:26">
      <c r="A25" s="13">
        <v>21</v>
      </c>
      <c r="B25" s="13" t="s">
        <v>173</v>
      </c>
      <c r="C25" s="13" t="s">
        <v>106</v>
      </c>
      <c r="D25" s="13"/>
      <c r="E25" s="13"/>
      <c r="F25" s="13" t="s">
        <v>166</v>
      </c>
      <c r="G25" s="13" t="s">
        <v>167</v>
      </c>
      <c r="H25" s="14">
        <f t="shared" si="12"/>
        <v>21.6</v>
      </c>
      <c r="I25" s="14">
        <v>21.6</v>
      </c>
      <c r="J25" s="14"/>
      <c r="K25" s="14"/>
      <c r="L25" s="13"/>
      <c r="M25" s="14">
        <f t="shared" si="9"/>
        <v>0</v>
      </c>
      <c r="N25" s="14"/>
      <c r="O25" s="14"/>
      <c r="P25" s="14"/>
      <c r="Q25" s="13"/>
      <c r="R25" s="14">
        <f t="shared" si="10"/>
        <v>0</v>
      </c>
      <c r="S25" s="14"/>
      <c r="T25" s="14"/>
      <c r="U25" s="14"/>
      <c r="V25" s="13"/>
      <c r="W25" s="14">
        <f t="shared" si="11"/>
        <v>21.6</v>
      </c>
      <c r="X25" s="14">
        <f t="shared" si="6"/>
        <v>21.6</v>
      </c>
      <c r="Y25" s="14">
        <f t="shared" si="7"/>
        <v>0</v>
      </c>
      <c r="Z25" s="14">
        <f t="shared" si="8"/>
        <v>0</v>
      </c>
    </row>
    <row r="26" ht="24" customHeight="1" spans="1:26">
      <c r="A26" s="13">
        <v>22</v>
      </c>
      <c r="B26" s="13" t="s">
        <v>174</v>
      </c>
      <c r="C26" s="13" t="s">
        <v>106</v>
      </c>
      <c r="D26" s="13"/>
      <c r="E26" s="13"/>
      <c r="F26" s="13" t="s">
        <v>166</v>
      </c>
      <c r="G26" s="13" t="s">
        <v>170</v>
      </c>
      <c r="H26" s="14">
        <f t="shared" si="12"/>
        <v>17.64</v>
      </c>
      <c r="I26" s="14">
        <v>17.64</v>
      </c>
      <c r="J26" s="14"/>
      <c r="K26" s="14"/>
      <c r="L26" s="13"/>
      <c r="M26" s="14">
        <f t="shared" si="9"/>
        <v>0</v>
      </c>
      <c r="N26" s="14"/>
      <c r="O26" s="14"/>
      <c r="P26" s="14"/>
      <c r="Q26" s="13" t="s">
        <v>519</v>
      </c>
      <c r="R26" s="14">
        <f t="shared" si="10"/>
        <v>-3.307631</v>
      </c>
      <c r="S26" s="14">
        <v>-3.307631</v>
      </c>
      <c r="T26" s="14"/>
      <c r="U26" s="14"/>
      <c r="V26" s="13"/>
      <c r="W26" s="14">
        <f t="shared" si="11"/>
        <v>14.332369</v>
      </c>
      <c r="X26" s="14">
        <f t="shared" si="6"/>
        <v>14.332369</v>
      </c>
      <c r="Y26" s="14">
        <f t="shared" si="7"/>
        <v>0</v>
      </c>
      <c r="Z26" s="14">
        <f t="shared" si="8"/>
        <v>0</v>
      </c>
    </row>
    <row r="27" ht="24" customHeight="1" spans="1:26">
      <c r="A27" s="13">
        <v>23</v>
      </c>
      <c r="B27" s="13" t="s">
        <v>175</v>
      </c>
      <c r="C27" s="13" t="s">
        <v>106</v>
      </c>
      <c r="D27" s="13"/>
      <c r="E27" s="13"/>
      <c r="F27" s="13" t="s">
        <v>166</v>
      </c>
      <c r="G27" s="13" t="s">
        <v>170</v>
      </c>
      <c r="H27" s="14">
        <f t="shared" si="12"/>
        <v>5.04</v>
      </c>
      <c r="I27" s="14">
        <v>5.04</v>
      </c>
      <c r="J27" s="14"/>
      <c r="K27" s="14"/>
      <c r="L27" s="13"/>
      <c r="M27" s="14">
        <f t="shared" si="9"/>
        <v>0</v>
      </c>
      <c r="N27" s="14"/>
      <c r="O27" s="14"/>
      <c r="P27" s="14"/>
      <c r="Q27" s="13" t="s">
        <v>519</v>
      </c>
      <c r="R27" s="14">
        <f t="shared" si="10"/>
        <v>-1.7e-5</v>
      </c>
      <c r="S27" s="14"/>
      <c r="T27" s="14"/>
      <c r="U27" s="14">
        <v>-1.7e-5</v>
      </c>
      <c r="V27" s="13"/>
      <c r="W27" s="14">
        <f t="shared" si="11"/>
        <v>5.039983</v>
      </c>
      <c r="X27" s="14">
        <f t="shared" si="6"/>
        <v>5.04</v>
      </c>
      <c r="Y27" s="14">
        <f t="shared" si="7"/>
        <v>0</v>
      </c>
      <c r="Z27" s="14">
        <f t="shared" si="8"/>
        <v>-1.7e-5</v>
      </c>
    </row>
    <row r="28" spans="1:11">
      <c r="A28" s="15" t="s">
        <v>191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</sheetData>
  <mergeCells count="31">
    <mergeCell ref="A1:C1"/>
    <mergeCell ref="A2:K2"/>
    <mergeCell ref="A3:B3"/>
    <mergeCell ref="H4:K4"/>
    <mergeCell ref="M4:P4"/>
    <mergeCell ref="R4:U4"/>
    <mergeCell ref="W4:Z4"/>
    <mergeCell ref="I5:K5"/>
    <mergeCell ref="N5:P5"/>
    <mergeCell ref="S5:U5"/>
    <mergeCell ref="X5:Z5"/>
    <mergeCell ref="I6:K6"/>
    <mergeCell ref="N6:P6"/>
    <mergeCell ref="S6:U6"/>
    <mergeCell ref="X6:Z6"/>
    <mergeCell ref="A8:B8"/>
    <mergeCell ref="A4:A7"/>
    <mergeCell ref="B4:B7"/>
    <mergeCell ref="C4:C7"/>
    <mergeCell ref="D4:D7"/>
    <mergeCell ref="E4:E7"/>
    <mergeCell ref="F4:F7"/>
    <mergeCell ref="G4:G7"/>
    <mergeCell ref="H5:H7"/>
    <mergeCell ref="L4:L7"/>
    <mergeCell ref="M5:M7"/>
    <mergeCell ref="Q4:Q7"/>
    <mergeCell ref="R5:R7"/>
    <mergeCell ref="V4:V7"/>
    <mergeCell ref="W5:W7"/>
    <mergeCell ref="A28:K30"/>
  </mergeCells>
  <pageMargins left="0.707638888888889" right="0.707638888888889" top="0.747916666666667" bottom="0.747916666666667" header="0.313888888888889" footer="0.313888888888889"/>
  <pageSetup paperSize="9" scale="61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AE29"/>
  <sheetViews>
    <sheetView zoomScale="85" zoomScaleNormal="85" topLeftCell="I7" workbookViewId="0">
      <selection activeCell="P20" sqref="P20"/>
    </sheetView>
  </sheetViews>
  <sheetFormatPr defaultColWidth="9" defaultRowHeight="13.5"/>
  <cols>
    <col min="1" max="1" width="4.25833333333333" customWidth="1"/>
    <col min="2" max="2" width="32.1333333333333" customWidth="1"/>
    <col min="3" max="3" width="14.3833333333333" customWidth="1"/>
    <col min="4" max="5" width="19" customWidth="1"/>
    <col min="6" max="7" width="17.5" customWidth="1"/>
    <col min="8" max="12" width="14.5" customWidth="1"/>
    <col min="13" max="17" width="11.8833333333333" customWidth="1"/>
    <col min="18" max="21" width="11.7583333333333" customWidth="1"/>
    <col min="22" max="26" width="10.8833333333333" customWidth="1"/>
    <col min="27" max="28" width="11.2583333333333" customWidth="1"/>
    <col min="29" max="29" width="9.25833333333333" customWidth="1"/>
    <col min="30" max="30" width="11.2583333333333" customWidth="1"/>
  </cols>
  <sheetData>
    <row r="1" ht="26.25" customHeight="1" spans="1:3">
      <c r="A1" s="2" t="s">
        <v>77</v>
      </c>
      <c r="B1" s="2"/>
      <c r="C1" s="2"/>
    </row>
    <row r="2" ht="26.25" customHeight="1" spans="1:12">
      <c r="A2" s="3" t="s">
        <v>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6.25" customHeight="1" spans="1:12">
      <c r="A3" s="4" t="s">
        <v>58</v>
      </c>
      <c r="B3" s="4"/>
      <c r="C3" s="5"/>
      <c r="D3" s="5" t="s">
        <v>59</v>
      </c>
      <c r="E3" s="5"/>
      <c r="F3" s="3"/>
      <c r="G3" s="3"/>
      <c r="H3" s="3"/>
      <c r="I3" s="3"/>
      <c r="J3" s="3"/>
      <c r="K3" s="3"/>
      <c r="L3" s="3"/>
    </row>
    <row r="4" ht="19.5" customHeight="1" spans="1:30">
      <c r="A4" s="6" t="s">
        <v>3</v>
      </c>
      <c r="B4" s="6" t="s">
        <v>4</v>
      </c>
      <c r="C4" s="6" t="s">
        <v>5</v>
      </c>
      <c r="D4" s="6" t="s">
        <v>6</v>
      </c>
      <c r="E4" s="6" t="s">
        <v>79</v>
      </c>
      <c r="F4" s="6" t="s">
        <v>7</v>
      </c>
      <c r="G4" s="6" t="s">
        <v>80</v>
      </c>
      <c r="H4" s="7" t="s">
        <v>8</v>
      </c>
      <c r="I4" s="16"/>
      <c r="J4" s="16"/>
      <c r="K4" s="16"/>
      <c r="L4" s="6" t="s">
        <v>80</v>
      </c>
      <c r="M4" s="7" t="s">
        <v>8</v>
      </c>
      <c r="N4" s="16"/>
      <c r="O4" s="16"/>
      <c r="P4" s="16"/>
      <c r="Q4" s="6" t="s">
        <v>80</v>
      </c>
      <c r="R4" s="7" t="s">
        <v>8</v>
      </c>
      <c r="S4" s="16"/>
      <c r="T4" s="16"/>
      <c r="U4" s="16"/>
      <c r="V4" s="6" t="s">
        <v>80</v>
      </c>
      <c r="W4" s="7" t="s">
        <v>8</v>
      </c>
      <c r="X4" s="16"/>
      <c r="Y4" s="16"/>
      <c r="Z4" s="16"/>
      <c r="AA4" s="7" t="s">
        <v>8</v>
      </c>
      <c r="AB4" s="16"/>
      <c r="AC4" s="16"/>
      <c r="AD4" s="16"/>
    </row>
    <row r="5" ht="19.5" customHeight="1" spans="1:30">
      <c r="A5" s="8"/>
      <c r="B5" s="8"/>
      <c r="C5" s="8"/>
      <c r="D5" s="8"/>
      <c r="E5" s="8"/>
      <c r="F5" s="8"/>
      <c r="G5" s="8"/>
      <c r="H5" s="9" t="s">
        <v>16</v>
      </c>
      <c r="I5" s="17" t="s">
        <v>17</v>
      </c>
      <c r="J5" s="16"/>
      <c r="K5" s="16"/>
      <c r="L5" s="8"/>
      <c r="M5" s="9" t="s">
        <v>16</v>
      </c>
      <c r="N5" s="17" t="s">
        <v>17</v>
      </c>
      <c r="O5" s="16"/>
      <c r="P5" s="16"/>
      <c r="Q5" s="8"/>
      <c r="R5" s="9" t="s">
        <v>16</v>
      </c>
      <c r="S5" s="17" t="s">
        <v>17</v>
      </c>
      <c r="T5" s="16"/>
      <c r="U5" s="16"/>
      <c r="V5" s="8"/>
      <c r="W5" s="9" t="s">
        <v>16</v>
      </c>
      <c r="X5" s="17" t="s">
        <v>17</v>
      </c>
      <c r="Y5" s="16"/>
      <c r="Z5" s="16"/>
      <c r="AA5" s="9" t="s">
        <v>16</v>
      </c>
      <c r="AB5" s="17" t="s">
        <v>17</v>
      </c>
      <c r="AC5" s="16"/>
      <c r="AD5" s="16"/>
    </row>
    <row r="6" ht="19.5" customHeight="1" spans="1:30">
      <c r="A6" s="8"/>
      <c r="B6" s="8"/>
      <c r="C6" s="8"/>
      <c r="D6" s="8"/>
      <c r="E6" s="8"/>
      <c r="F6" s="8"/>
      <c r="G6" s="8"/>
      <c r="H6" s="10"/>
      <c r="I6" s="9" t="s">
        <v>81</v>
      </c>
      <c r="J6" s="10"/>
      <c r="K6" s="10"/>
      <c r="L6" s="8"/>
      <c r="M6" s="10"/>
      <c r="N6" s="9" t="s">
        <v>81</v>
      </c>
      <c r="O6" s="10"/>
      <c r="P6" s="10"/>
      <c r="Q6" s="8"/>
      <c r="R6" s="10"/>
      <c r="S6" s="9" t="s">
        <v>81</v>
      </c>
      <c r="T6" s="10"/>
      <c r="U6" s="10"/>
      <c r="V6" s="8"/>
      <c r="W6" s="10"/>
      <c r="X6" s="9" t="s">
        <v>81</v>
      </c>
      <c r="Y6" s="10"/>
      <c r="Z6" s="10"/>
      <c r="AA6" s="10"/>
      <c r="AB6" s="9" t="s">
        <v>81</v>
      </c>
      <c r="AC6" s="10"/>
      <c r="AD6" s="10"/>
    </row>
    <row r="7" ht="49.9" customHeight="1" spans="1:30">
      <c r="A7" s="11"/>
      <c r="B7" s="11"/>
      <c r="C7" s="11"/>
      <c r="D7" s="11"/>
      <c r="E7" s="11"/>
      <c r="F7" s="11"/>
      <c r="G7" s="11"/>
      <c r="H7" s="10"/>
      <c r="I7" s="9" t="s">
        <v>25</v>
      </c>
      <c r="J7" s="9" t="s">
        <v>26</v>
      </c>
      <c r="K7" s="9" t="s">
        <v>27</v>
      </c>
      <c r="L7" s="11"/>
      <c r="M7" s="10"/>
      <c r="N7" s="9" t="s">
        <v>25</v>
      </c>
      <c r="O7" s="9" t="s">
        <v>26</v>
      </c>
      <c r="P7" s="9" t="s">
        <v>27</v>
      </c>
      <c r="Q7" s="11"/>
      <c r="R7" s="10"/>
      <c r="S7" s="9" t="s">
        <v>25</v>
      </c>
      <c r="T7" s="9" t="s">
        <v>26</v>
      </c>
      <c r="U7" s="9" t="s">
        <v>27</v>
      </c>
      <c r="V7" s="11"/>
      <c r="W7" s="10"/>
      <c r="X7" s="9" t="s">
        <v>25</v>
      </c>
      <c r="Y7" s="9" t="s">
        <v>26</v>
      </c>
      <c r="Z7" s="9" t="s">
        <v>27</v>
      </c>
      <c r="AA7" s="10"/>
      <c r="AB7" s="9" t="s">
        <v>25</v>
      </c>
      <c r="AC7" s="9" t="s">
        <v>26</v>
      </c>
      <c r="AD7" s="9" t="s">
        <v>27</v>
      </c>
    </row>
    <row r="8" s="1" customFormat="1" ht="24" customHeight="1" spans="1:30">
      <c r="A8" s="9" t="s">
        <v>28</v>
      </c>
      <c r="B8" s="9" t="s">
        <v>16</v>
      </c>
      <c r="C8" s="9"/>
      <c r="D8" s="9"/>
      <c r="E8" s="9"/>
      <c r="F8" s="9"/>
      <c r="G8" s="9"/>
      <c r="H8" s="12">
        <f>I8+J8+K8</f>
        <v>4969</v>
      </c>
      <c r="I8" s="12">
        <f t="shared" ref="I8:K8" si="0">I9+I10+I11+I12+I13+I14+I15+I16+I17+I18+I19+I20+I21+I22+I23+I24+I25+I26</f>
        <v>2582</v>
      </c>
      <c r="J8" s="12">
        <f t="shared" si="0"/>
        <v>947</v>
      </c>
      <c r="K8" s="12">
        <f t="shared" si="0"/>
        <v>1440</v>
      </c>
      <c r="L8" s="12"/>
      <c r="M8" s="12">
        <f>N8+O8+P8</f>
        <v>0</v>
      </c>
      <c r="N8" s="12">
        <f t="shared" ref="N8:P8" si="1">N9+N10+N11+N12+N13+N14+N15+N16+N17+N18+N19+N20+N21+N22+N23+N24+N25+N26</f>
        <v>0</v>
      </c>
      <c r="O8" s="12">
        <f t="shared" si="1"/>
        <v>0</v>
      </c>
      <c r="P8" s="12">
        <f t="shared" si="1"/>
        <v>0</v>
      </c>
      <c r="Q8" s="12"/>
      <c r="R8" s="12">
        <f>S8+T8+U8</f>
        <v>0</v>
      </c>
      <c r="S8" s="12">
        <f t="shared" ref="S8:U8" si="2">S9+S10+S11+S12+S13+S14+S15+S16+S17+S18+S19+S20+S21+S22+S23+S24+S25+S26</f>
        <v>0</v>
      </c>
      <c r="T8" s="12">
        <f t="shared" si="2"/>
        <v>0</v>
      </c>
      <c r="U8" s="12">
        <f t="shared" si="2"/>
        <v>0</v>
      </c>
      <c r="V8" s="12"/>
      <c r="W8" s="12">
        <f>X8+Y8+Z8</f>
        <v>0</v>
      </c>
      <c r="X8" s="12">
        <f t="shared" ref="X8:Z8" si="3">X9+X10+X11+X12+X13+X14+X15+X16+X17+X18+X19+X20+X21+X22+X23+X24+X25+X26</f>
        <v>0</v>
      </c>
      <c r="Y8" s="12">
        <f t="shared" si="3"/>
        <v>0</v>
      </c>
      <c r="Z8" s="12">
        <f t="shared" si="3"/>
        <v>0</v>
      </c>
      <c r="AA8" s="12">
        <f>AB8+AC8+AD8</f>
        <v>4969</v>
      </c>
      <c r="AB8" s="12">
        <f t="shared" ref="AB8:AD8" si="4">AB9+AB10+AB11+AB12+AB13+AB14+AB15+AB16+AB17+AB18+AB19+AB20+AB21+AB22+AB23+AB24+AB25+AB26</f>
        <v>2582</v>
      </c>
      <c r="AC8" s="12">
        <f t="shared" si="4"/>
        <v>947</v>
      </c>
      <c r="AD8" s="12">
        <f t="shared" si="4"/>
        <v>1440</v>
      </c>
    </row>
    <row r="9" ht="29.25" customHeight="1" spans="1:30">
      <c r="A9" s="13">
        <v>13</v>
      </c>
      <c r="B9" s="13" t="s">
        <v>116</v>
      </c>
      <c r="C9" s="13" t="s">
        <v>117</v>
      </c>
      <c r="D9" s="13"/>
      <c r="E9" s="13"/>
      <c r="F9" s="13" t="s">
        <v>118</v>
      </c>
      <c r="G9" s="13" t="s">
        <v>119</v>
      </c>
      <c r="H9" s="14">
        <f t="shared" ref="H9:H15" si="5">I9+J9+K9</f>
        <v>802</v>
      </c>
      <c r="I9" s="14">
        <v>342</v>
      </c>
      <c r="J9" s="14">
        <v>238.5</v>
      </c>
      <c r="K9" s="14">
        <v>221.5</v>
      </c>
      <c r="L9" s="14"/>
      <c r="M9" s="14">
        <f t="shared" ref="M9:M26" si="6">N9+O9+P9</f>
        <v>0</v>
      </c>
      <c r="N9" s="14"/>
      <c r="O9" s="14"/>
      <c r="P9" s="14"/>
      <c r="Q9" s="14"/>
      <c r="R9" s="14">
        <f t="shared" ref="R9:R26" si="7">S9+T9+U9</f>
        <v>0</v>
      </c>
      <c r="S9" s="14"/>
      <c r="T9" s="14"/>
      <c r="U9" s="14"/>
      <c r="V9" s="14"/>
      <c r="W9" s="14">
        <f t="shared" ref="W9:W26" si="8">X9+Y9+Z9</f>
        <v>0</v>
      </c>
      <c r="X9" s="14"/>
      <c r="Y9" s="14"/>
      <c r="Z9" s="14"/>
      <c r="AA9" s="14">
        <f t="shared" ref="AA9:AA26" si="9">AB9+AC9+AD9</f>
        <v>802</v>
      </c>
      <c r="AB9" s="14">
        <f>I9+N9+S9+X9</f>
        <v>342</v>
      </c>
      <c r="AC9" s="14">
        <f t="shared" ref="AC9:AD9" si="10">J9+O9+T9+Y9</f>
        <v>238.5</v>
      </c>
      <c r="AD9" s="14">
        <f t="shared" si="10"/>
        <v>221.5</v>
      </c>
    </row>
    <row r="10" ht="57" customHeight="1" spans="1:30">
      <c r="A10" s="13">
        <v>14</v>
      </c>
      <c r="B10" s="13" t="s">
        <v>120</v>
      </c>
      <c r="C10" s="13" t="s">
        <v>117</v>
      </c>
      <c r="D10" s="13"/>
      <c r="E10" s="13"/>
      <c r="F10" s="13" t="s">
        <v>121</v>
      </c>
      <c r="G10" s="13" t="s">
        <v>122</v>
      </c>
      <c r="H10" s="14">
        <f t="shared" si="5"/>
        <v>1550</v>
      </c>
      <c r="I10" s="14">
        <v>800</v>
      </c>
      <c r="J10" s="14">
        <v>250</v>
      </c>
      <c r="K10" s="14">
        <v>500</v>
      </c>
      <c r="L10" s="14"/>
      <c r="M10" s="14">
        <f t="shared" si="6"/>
        <v>0</v>
      </c>
      <c r="N10" s="14"/>
      <c r="O10" s="14"/>
      <c r="P10" s="14"/>
      <c r="Q10" s="14"/>
      <c r="R10" s="14">
        <f t="shared" si="7"/>
        <v>0</v>
      </c>
      <c r="S10" s="14"/>
      <c r="T10" s="14"/>
      <c r="U10" s="14"/>
      <c r="V10" s="14" t="s">
        <v>131</v>
      </c>
      <c r="W10" s="14">
        <f t="shared" si="8"/>
        <v>441.431518</v>
      </c>
      <c r="X10" s="14">
        <f>17.03469+57.123+81.6966</f>
        <v>155.85429</v>
      </c>
      <c r="Y10" s="14">
        <v>55.970438</v>
      </c>
      <c r="Z10" s="14">
        <f>47.761555+72.783578+109.061657</f>
        <v>229.60679</v>
      </c>
      <c r="AA10" s="14">
        <f t="shared" si="9"/>
        <v>1991.431518</v>
      </c>
      <c r="AB10" s="14">
        <f t="shared" ref="AB10:AB26" si="11">I10+N10+S10+X10</f>
        <v>955.85429</v>
      </c>
      <c r="AC10" s="14">
        <f t="shared" ref="AC10:AC26" si="12">J10+O10+T10+Y10</f>
        <v>305.970438</v>
      </c>
      <c r="AD10" s="14">
        <f t="shared" ref="AD10:AD26" si="13">K10+P10+U10+Z10</f>
        <v>729.60679</v>
      </c>
    </row>
    <row r="11" ht="24" customHeight="1" spans="1:30">
      <c r="A11" s="13">
        <v>15</v>
      </c>
      <c r="B11" s="13" t="s">
        <v>123</v>
      </c>
      <c r="C11" s="13" t="s">
        <v>117</v>
      </c>
      <c r="D11" s="13"/>
      <c r="E11" s="13"/>
      <c r="F11" s="13" t="s">
        <v>124</v>
      </c>
      <c r="G11" s="13" t="s">
        <v>125</v>
      </c>
      <c r="H11" s="14">
        <f t="shared" si="5"/>
        <v>400</v>
      </c>
      <c r="I11" s="14">
        <v>400</v>
      </c>
      <c r="J11" s="14"/>
      <c r="K11" s="14"/>
      <c r="L11" s="14"/>
      <c r="M11" s="14">
        <f t="shared" si="6"/>
        <v>0</v>
      </c>
      <c r="N11" s="14"/>
      <c r="O11" s="14"/>
      <c r="P11" s="14"/>
      <c r="Q11" s="14"/>
      <c r="R11" s="14">
        <f t="shared" si="7"/>
        <v>0</v>
      </c>
      <c r="S11" s="14"/>
      <c r="T11" s="14"/>
      <c r="U11" s="14"/>
      <c r="V11" s="14"/>
      <c r="W11" s="14">
        <f t="shared" si="8"/>
        <v>0</v>
      </c>
      <c r="X11" s="14"/>
      <c r="Y11" s="14"/>
      <c r="Z11" s="14"/>
      <c r="AA11" s="14">
        <f t="shared" si="9"/>
        <v>400</v>
      </c>
      <c r="AB11" s="14">
        <f t="shared" si="11"/>
        <v>400</v>
      </c>
      <c r="AC11" s="14">
        <f t="shared" si="12"/>
        <v>0</v>
      </c>
      <c r="AD11" s="14">
        <f t="shared" si="13"/>
        <v>0</v>
      </c>
    </row>
    <row r="12" ht="24" customHeight="1" spans="1:30">
      <c r="A12" s="13">
        <v>16</v>
      </c>
      <c r="B12" s="13" t="s">
        <v>126</v>
      </c>
      <c r="C12" s="13" t="s">
        <v>117</v>
      </c>
      <c r="D12" s="13"/>
      <c r="E12" s="13"/>
      <c r="F12" s="13" t="s">
        <v>109</v>
      </c>
      <c r="G12" s="13" t="s">
        <v>127</v>
      </c>
      <c r="H12" s="14">
        <f t="shared" si="5"/>
        <v>60</v>
      </c>
      <c r="I12" s="14"/>
      <c r="J12" s="14">
        <v>60</v>
      </c>
      <c r="K12" s="14"/>
      <c r="L12" s="14"/>
      <c r="M12" s="14">
        <f t="shared" si="6"/>
        <v>0</v>
      </c>
      <c r="N12" s="14"/>
      <c r="O12" s="14"/>
      <c r="P12" s="14"/>
      <c r="Q12" s="14"/>
      <c r="R12" s="14">
        <f t="shared" si="7"/>
        <v>0</v>
      </c>
      <c r="S12" s="14"/>
      <c r="T12" s="14"/>
      <c r="U12" s="14"/>
      <c r="V12" s="14"/>
      <c r="W12" s="14">
        <f t="shared" si="8"/>
        <v>0</v>
      </c>
      <c r="X12" s="14"/>
      <c r="Y12" s="14"/>
      <c r="Z12" s="14"/>
      <c r="AA12" s="14">
        <f t="shared" si="9"/>
        <v>60</v>
      </c>
      <c r="AB12" s="14">
        <f t="shared" si="11"/>
        <v>0</v>
      </c>
      <c r="AC12" s="14">
        <f t="shared" si="12"/>
        <v>60</v>
      </c>
      <c r="AD12" s="14">
        <f t="shared" si="13"/>
        <v>0</v>
      </c>
    </row>
    <row r="13" ht="24" customHeight="1" spans="1:30">
      <c r="A13" s="13">
        <v>17</v>
      </c>
      <c r="B13" s="13" t="s">
        <v>128</v>
      </c>
      <c r="C13" s="13" t="s">
        <v>117</v>
      </c>
      <c r="D13" s="13"/>
      <c r="E13" s="13"/>
      <c r="F13" s="13" t="s">
        <v>109</v>
      </c>
      <c r="G13" s="13" t="s">
        <v>127</v>
      </c>
      <c r="H13" s="14">
        <f t="shared" si="5"/>
        <v>22</v>
      </c>
      <c r="I13" s="14"/>
      <c r="J13" s="14">
        <v>22</v>
      </c>
      <c r="K13" s="14"/>
      <c r="L13" s="14"/>
      <c r="M13" s="14">
        <f t="shared" si="6"/>
        <v>0</v>
      </c>
      <c r="N13" s="14"/>
      <c r="O13" s="14"/>
      <c r="P13" s="14"/>
      <c r="Q13" s="14"/>
      <c r="R13" s="14">
        <f t="shared" si="7"/>
        <v>0</v>
      </c>
      <c r="S13" s="14"/>
      <c r="T13" s="14"/>
      <c r="U13" s="14"/>
      <c r="V13" s="14"/>
      <c r="W13" s="14">
        <f t="shared" si="8"/>
        <v>0</v>
      </c>
      <c r="X13" s="14"/>
      <c r="Y13" s="14"/>
      <c r="Z13" s="14"/>
      <c r="AA13" s="14">
        <f t="shared" si="9"/>
        <v>22</v>
      </c>
      <c r="AB13" s="14">
        <f t="shared" si="11"/>
        <v>0</v>
      </c>
      <c r="AC13" s="14">
        <f t="shared" si="12"/>
        <v>22</v>
      </c>
      <c r="AD13" s="14">
        <f t="shared" si="13"/>
        <v>0</v>
      </c>
    </row>
    <row r="14" ht="24" customHeight="1" spans="1:30">
      <c r="A14" s="13">
        <v>18</v>
      </c>
      <c r="B14" s="13" t="s">
        <v>129</v>
      </c>
      <c r="C14" s="13" t="s">
        <v>117</v>
      </c>
      <c r="D14" s="13"/>
      <c r="E14" s="13"/>
      <c r="F14" s="13" t="s">
        <v>130</v>
      </c>
      <c r="G14" s="13" t="s">
        <v>131</v>
      </c>
      <c r="H14" s="14">
        <f t="shared" si="5"/>
        <v>0</v>
      </c>
      <c r="I14" s="14"/>
      <c r="J14" s="14"/>
      <c r="K14" s="14"/>
      <c r="L14" s="14"/>
      <c r="M14" s="14">
        <f t="shared" si="6"/>
        <v>0</v>
      </c>
      <c r="N14" s="14"/>
      <c r="O14" s="14"/>
      <c r="P14" s="14"/>
      <c r="Q14" s="14" t="s">
        <v>139</v>
      </c>
      <c r="R14" s="14">
        <f t="shared" si="7"/>
        <v>80</v>
      </c>
      <c r="S14" s="14">
        <v>80</v>
      </c>
      <c r="T14" s="14"/>
      <c r="U14" s="14"/>
      <c r="V14" s="14" t="s">
        <v>131</v>
      </c>
      <c r="W14" s="14">
        <f t="shared" si="8"/>
        <v>0.4</v>
      </c>
      <c r="X14" s="14">
        <v>0.4</v>
      </c>
      <c r="Y14" s="14"/>
      <c r="Z14" s="14"/>
      <c r="AA14" s="14">
        <f t="shared" si="9"/>
        <v>80.4</v>
      </c>
      <c r="AB14" s="14">
        <f t="shared" si="11"/>
        <v>80.4</v>
      </c>
      <c r="AC14" s="14">
        <f t="shared" si="12"/>
        <v>0</v>
      </c>
      <c r="AD14" s="14">
        <f t="shared" si="13"/>
        <v>0</v>
      </c>
    </row>
    <row r="15" ht="24" customHeight="1" spans="1:30">
      <c r="A15" s="13">
        <v>19</v>
      </c>
      <c r="B15" s="13" t="s">
        <v>132</v>
      </c>
      <c r="C15" s="13" t="s">
        <v>117</v>
      </c>
      <c r="D15" s="13"/>
      <c r="E15" s="13"/>
      <c r="F15" s="13" t="s">
        <v>130</v>
      </c>
      <c r="G15" s="13" t="s">
        <v>133</v>
      </c>
      <c r="H15" s="14">
        <f t="shared" si="5"/>
        <v>0</v>
      </c>
      <c r="I15" s="14"/>
      <c r="J15" s="14"/>
      <c r="K15" s="14"/>
      <c r="L15" s="14"/>
      <c r="M15" s="14">
        <f t="shared" si="6"/>
        <v>0</v>
      </c>
      <c r="N15" s="14"/>
      <c r="O15" s="14"/>
      <c r="P15" s="14"/>
      <c r="Q15" s="14" t="s">
        <v>139</v>
      </c>
      <c r="R15" s="14">
        <f t="shared" si="7"/>
        <v>2</v>
      </c>
      <c r="S15" s="14">
        <v>2</v>
      </c>
      <c r="T15" s="14"/>
      <c r="U15" s="14"/>
      <c r="V15" s="14" t="s">
        <v>131</v>
      </c>
      <c r="W15" s="14">
        <f t="shared" si="8"/>
        <v>1.947</v>
      </c>
      <c r="X15" s="14">
        <v>1.947</v>
      </c>
      <c r="Y15" s="14"/>
      <c r="Z15" s="14"/>
      <c r="AA15" s="14">
        <f t="shared" si="9"/>
        <v>3.947</v>
      </c>
      <c r="AB15" s="14">
        <f t="shared" si="11"/>
        <v>3.947</v>
      </c>
      <c r="AC15" s="14">
        <f t="shared" si="12"/>
        <v>0</v>
      </c>
      <c r="AD15" s="14">
        <f t="shared" si="13"/>
        <v>0</v>
      </c>
    </row>
    <row r="16" ht="24" customHeight="1" spans="1:30">
      <c r="A16" s="13">
        <v>3</v>
      </c>
      <c r="B16" s="13" t="s">
        <v>138</v>
      </c>
      <c r="C16" s="13" t="s">
        <v>117</v>
      </c>
      <c r="D16" s="13"/>
      <c r="E16" s="13"/>
      <c r="F16" s="13" t="s">
        <v>98</v>
      </c>
      <c r="G16" s="13" t="s">
        <v>139</v>
      </c>
      <c r="H16" s="14">
        <f t="shared" ref="H16:H18" si="14">I16+J16+K16</f>
        <v>0</v>
      </c>
      <c r="I16" s="14"/>
      <c r="J16" s="14"/>
      <c r="K16" s="14"/>
      <c r="L16" s="14"/>
      <c r="M16" s="14">
        <f t="shared" si="6"/>
        <v>0</v>
      </c>
      <c r="N16" s="14"/>
      <c r="O16" s="14"/>
      <c r="P16" s="14"/>
      <c r="Q16" s="14"/>
      <c r="R16" s="14">
        <f t="shared" si="7"/>
        <v>0</v>
      </c>
      <c r="S16" s="14"/>
      <c r="T16" s="14"/>
      <c r="U16" s="14"/>
      <c r="V16" s="14"/>
      <c r="W16" s="14">
        <f t="shared" si="8"/>
        <v>0</v>
      </c>
      <c r="X16" s="14"/>
      <c r="Y16" s="14"/>
      <c r="Z16" s="14"/>
      <c r="AA16" s="14">
        <f t="shared" si="9"/>
        <v>0</v>
      </c>
      <c r="AB16" s="14">
        <f t="shared" si="11"/>
        <v>0</v>
      </c>
      <c r="AC16" s="14">
        <f t="shared" si="12"/>
        <v>0</v>
      </c>
      <c r="AD16" s="14">
        <f t="shared" si="13"/>
        <v>0</v>
      </c>
    </row>
    <row r="17" ht="52.5" customHeight="1" spans="1:30">
      <c r="A17" s="13">
        <v>4</v>
      </c>
      <c r="B17" s="13" t="s">
        <v>140</v>
      </c>
      <c r="C17" s="13" t="s">
        <v>117</v>
      </c>
      <c r="D17" s="13"/>
      <c r="E17" s="13"/>
      <c r="F17" s="13" t="s">
        <v>141</v>
      </c>
      <c r="G17" s="13" t="s">
        <v>133</v>
      </c>
      <c r="H17" s="14">
        <f t="shared" si="14"/>
        <v>0</v>
      </c>
      <c r="I17" s="14"/>
      <c r="J17" s="14"/>
      <c r="K17" s="14"/>
      <c r="L17" s="14"/>
      <c r="M17" s="14">
        <f t="shared" si="6"/>
        <v>27.32</v>
      </c>
      <c r="N17" s="14"/>
      <c r="O17" s="14"/>
      <c r="P17" s="14">
        <v>27.32</v>
      </c>
      <c r="Q17" s="14" t="s">
        <v>139</v>
      </c>
      <c r="R17" s="14">
        <f t="shared" si="7"/>
        <v>120</v>
      </c>
      <c r="S17" s="14">
        <f>25.823309+80</f>
        <v>105.823309</v>
      </c>
      <c r="T17" s="14"/>
      <c r="U17" s="14">
        <v>14.176691</v>
      </c>
      <c r="V17" s="14" t="s">
        <v>131</v>
      </c>
      <c r="W17" s="14">
        <f t="shared" si="8"/>
        <v>28.79</v>
      </c>
      <c r="X17" s="14">
        <v>28.79</v>
      </c>
      <c r="Y17" s="14"/>
      <c r="Z17" s="14"/>
      <c r="AA17" s="14">
        <f t="shared" si="9"/>
        <v>176.11</v>
      </c>
      <c r="AB17" s="14">
        <f t="shared" si="11"/>
        <v>134.613309</v>
      </c>
      <c r="AC17" s="14">
        <f t="shared" si="12"/>
        <v>0</v>
      </c>
      <c r="AD17" s="14">
        <f t="shared" si="13"/>
        <v>41.496691</v>
      </c>
    </row>
    <row r="18" ht="43.5" customHeight="1" spans="1:30">
      <c r="A18" s="13">
        <v>5</v>
      </c>
      <c r="B18" s="13" t="s">
        <v>142</v>
      </c>
      <c r="C18" s="13" t="s">
        <v>117</v>
      </c>
      <c r="D18" s="13"/>
      <c r="E18" s="13"/>
      <c r="F18" s="13" t="s">
        <v>143</v>
      </c>
      <c r="G18" s="13" t="s">
        <v>144</v>
      </c>
      <c r="H18" s="14">
        <f t="shared" si="14"/>
        <v>138</v>
      </c>
      <c r="I18" s="14"/>
      <c r="J18" s="14">
        <v>138</v>
      </c>
      <c r="K18" s="14"/>
      <c r="L18" s="14"/>
      <c r="M18" s="14">
        <f t="shared" si="6"/>
        <v>0</v>
      </c>
      <c r="N18" s="14"/>
      <c r="O18" s="14"/>
      <c r="P18" s="14"/>
      <c r="Q18" s="14" t="s">
        <v>139</v>
      </c>
      <c r="R18" s="14">
        <f t="shared" si="7"/>
        <v>55</v>
      </c>
      <c r="S18" s="14">
        <v>55</v>
      </c>
      <c r="T18" s="14"/>
      <c r="U18" s="14"/>
      <c r="V18" s="14" t="s">
        <v>131</v>
      </c>
      <c r="W18" s="14">
        <f t="shared" si="8"/>
        <v>1.7332</v>
      </c>
      <c r="X18" s="14">
        <v>1.7332</v>
      </c>
      <c r="Y18" s="14"/>
      <c r="Z18" s="14"/>
      <c r="AA18" s="14">
        <f t="shared" si="9"/>
        <v>194.7332</v>
      </c>
      <c r="AB18" s="14">
        <f t="shared" si="11"/>
        <v>56.7332</v>
      </c>
      <c r="AC18" s="14">
        <f t="shared" si="12"/>
        <v>138</v>
      </c>
      <c r="AD18" s="14">
        <f t="shared" si="13"/>
        <v>0</v>
      </c>
    </row>
    <row r="19" ht="39.75" customHeight="1" spans="1:30">
      <c r="A19" s="13">
        <v>24</v>
      </c>
      <c r="B19" s="13" t="s">
        <v>176</v>
      </c>
      <c r="C19" s="13" t="s">
        <v>117</v>
      </c>
      <c r="D19" s="13"/>
      <c r="E19" s="13"/>
      <c r="F19" s="13" t="s">
        <v>118</v>
      </c>
      <c r="G19" s="13" t="s">
        <v>177</v>
      </c>
      <c r="H19" s="14">
        <f t="shared" ref="H19:H26" si="15">I19+J19+K19</f>
        <v>453.05</v>
      </c>
      <c r="I19" s="14">
        <f>27.09+51.89+151.92+47.15+30.87+20+13.08</f>
        <v>342</v>
      </c>
      <c r="J19" s="14">
        <f>6.77+12.97+37.98+11.79+7.72+17.21+16.61</f>
        <v>111.05</v>
      </c>
      <c r="K19" s="14"/>
      <c r="L19" s="14" t="s">
        <v>520</v>
      </c>
      <c r="M19" s="14">
        <f t="shared" si="6"/>
        <v>-138.48</v>
      </c>
      <c r="N19" s="14">
        <v>-138.48</v>
      </c>
      <c r="O19" s="14"/>
      <c r="P19" s="14"/>
      <c r="Q19" s="14"/>
      <c r="R19" s="14">
        <f t="shared" si="7"/>
        <v>0</v>
      </c>
      <c r="S19" s="14"/>
      <c r="T19" s="14"/>
      <c r="U19" s="14"/>
      <c r="V19" s="14" t="s">
        <v>131</v>
      </c>
      <c r="W19" s="14">
        <f t="shared" si="8"/>
        <v>-55.970438</v>
      </c>
      <c r="X19" s="14"/>
      <c r="Y19" s="14">
        <v>-55.970438</v>
      </c>
      <c r="Z19" s="14"/>
      <c r="AA19" s="14">
        <f t="shared" si="9"/>
        <v>258.599562</v>
      </c>
      <c r="AB19" s="14">
        <f t="shared" si="11"/>
        <v>203.52</v>
      </c>
      <c r="AC19" s="14">
        <f t="shared" si="12"/>
        <v>55.079562</v>
      </c>
      <c r="AD19" s="14">
        <f t="shared" si="13"/>
        <v>0</v>
      </c>
    </row>
    <row r="20" ht="24" customHeight="1" spans="1:31">
      <c r="A20" s="13">
        <v>25</v>
      </c>
      <c r="B20" s="13" t="s">
        <v>178</v>
      </c>
      <c r="C20" s="13" t="s">
        <v>117</v>
      </c>
      <c r="D20" s="13"/>
      <c r="E20" s="13"/>
      <c r="F20" s="13" t="s">
        <v>98</v>
      </c>
      <c r="G20" s="13" t="s">
        <v>179</v>
      </c>
      <c r="H20" s="14">
        <f t="shared" si="15"/>
        <v>440.23</v>
      </c>
      <c r="I20" s="14"/>
      <c r="J20" s="14">
        <v>127.45</v>
      </c>
      <c r="K20" s="14">
        <f>28.89+67.14+127.93+88.82</f>
        <v>312.78</v>
      </c>
      <c r="L20" s="14" t="s">
        <v>520</v>
      </c>
      <c r="M20" s="14">
        <f t="shared" si="6"/>
        <v>-180.72</v>
      </c>
      <c r="N20" s="14"/>
      <c r="O20" s="14"/>
      <c r="P20" s="14">
        <f>-153.4+-27.32</f>
        <v>-180.72</v>
      </c>
      <c r="Q20" s="14"/>
      <c r="R20" s="14">
        <f t="shared" si="7"/>
        <v>0</v>
      </c>
      <c r="S20" s="14"/>
      <c r="T20" s="14"/>
      <c r="U20" s="14"/>
      <c r="V20" s="14" t="s">
        <v>131</v>
      </c>
      <c r="W20" s="14">
        <f t="shared" si="8"/>
        <v>-47.761555</v>
      </c>
      <c r="X20" s="14"/>
      <c r="Y20" s="14"/>
      <c r="Z20" s="14">
        <v>-47.761555</v>
      </c>
      <c r="AA20" s="14">
        <f t="shared" si="9"/>
        <v>211.748445</v>
      </c>
      <c r="AB20" s="14">
        <f t="shared" si="11"/>
        <v>0</v>
      </c>
      <c r="AC20" s="14">
        <f t="shared" si="12"/>
        <v>127.45</v>
      </c>
      <c r="AD20" s="14">
        <f t="shared" si="13"/>
        <v>84.298445</v>
      </c>
      <c r="AE20" s="18"/>
    </row>
    <row r="21" ht="46.5" customHeight="1" spans="1:30">
      <c r="A21" s="13">
        <v>26</v>
      </c>
      <c r="B21" s="13" t="s">
        <v>180</v>
      </c>
      <c r="C21" s="13" t="s">
        <v>117</v>
      </c>
      <c r="D21" s="13"/>
      <c r="E21" s="13"/>
      <c r="F21" s="13" t="s">
        <v>98</v>
      </c>
      <c r="G21" s="13" t="s">
        <v>181</v>
      </c>
      <c r="H21" s="14">
        <f t="shared" si="15"/>
        <v>405.72</v>
      </c>
      <c r="I21" s="14"/>
      <c r="J21" s="14"/>
      <c r="K21" s="14">
        <f>214.84+142.73+48.15</f>
        <v>405.72</v>
      </c>
      <c r="L21" s="14" t="s">
        <v>520</v>
      </c>
      <c r="M21" s="14">
        <f t="shared" si="6"/>
        <v>-74.52</v>
      </c>
      <c r="N21" s="14"/>
      <c r="O21" s="14"/>
      <c r="P21" s="14">
        <v>-74.52</v>
      </c>
      <c r="Q21" s="14"/>
      <c r="R21" s="14">
        <f t="shared" si="7"/>
        <v>0</v>
      </c>
      <c r="S21" s="14"/>
      <c r="T21" s="14"/>
      <c r="U21" s="14"/>
      <c r="V21" s="14" t="s">
        <v>131</v>
      </c>
      <c r="W21" s="14">
        <f t="shared" si="8"/>
        <v>-72.783578</v>
      </c>
      <c r="X21" s="14"/>
      <c r="Y21" s="14"/>
      <c r="Z21" s="14">
        <v>-72.783578</v>
      </c>
      <c r="AA21" s="14">
        <f t="shared" si="9"/>
        <v>258.416422</v>
      </c>
      <c r="AB21" s="14">
        <f t="shared" si="11"/>
        <v>0</v>
      </c>
      <c r="AC21" s="14">
        <f t="shared" si="12"/>
        <v>0</v>
      </c>
      <c r="AD21" s="14">
        <f t="shared" si="13"/>
        <v>258.416422</v>
      </c>
    </row>
    <row r="22" ht="42" customHeight="1" spans="1:30">
      <c r="A22" s="13">
        <v>27</v>
      </c>
      <c r="B22" s="13" t="s">
        <v>182</v>
      </c>
      <c r="C22" s="13" t="s">
        <v>117</v>
      </c>
      <c r="D22" s="13"/>
      <c r="E22" s="13"/>
      <c r="F22" s="13" t="s">
        <v>118</v>
      </c>
      <c r="G22" s="13" t="s">
        <v>183</v>
      </c>
      <c r="H22" s="14">
        <f t="shared" si="15"/>
        <v>0</v>
      </c>
      <c r="I22" s="14"/>
      <c r="J22" s="14"/>
      <c r="K22" s="14"/>
      <c r="L22" s="14" t="s">
        <v>520</v>
      </c>
      <c r="M22" s="14">
        <f t="shared" si="6"/>
        <v>366.4</v>
      </c>
      <c r="N22" s="14">
        <v>138.48</v>
      </c>
      <c r="O22" s="14"/>
      <c r="P22" s="14">
        <f>153.4+74.52</f>
        <v>227.92</v>
      </c>
      <c r="Q22" s="14" t="s">
        <v>139</v>
      </c>
      <c r="R22" s="14">
        <f t="shared" si="7"/>
        <v>-144.681652</v>
      </c>
      <c r="S22" s="14">
        <v>-25.823309</v>
      </c>
      <c r="T22" s="14"/>
      <c r="U22" s="14">
        <f>-14.176691+-104.681652</f>
        <v>-118.858343</v>
      </c>
      <c r="V22" s="14" t="s">
        <v>131</v>
      </c>
      <c r="W22" s="14">
        <f t="shared" si="8"/>
        <v>-109.061657</v>
      </c>
      <c r="X22" s="14"/>
      <c r="Y22" s="14"/>
      <c r="Z22" s="14">
        <v>-109.061657</v>
      </c>
      <c r="AA22" s="14">
        <f t="shared" si="9"/>
        <v>112.656691</v>
      </c>
      <c r="AB22" s="14">
        <f t="shared" si="11"/>
        <v>112.656691</v>
      </c>
      <c r="AC22" s="14">
        <f t="shared" si="12"/>
        <v>0</v>
      </c>
      <c r="AD22" s="14">
        <f t="shared" si="13"/>
        <v>0</v>
      </c>
    </row>
    <row r="23" ht="42" customHeight="1" spans="1:30">
      <c r="A23" s="13">
        <v>28</v>
      </c>
      <c r="B23" s="13" t="s">
        <v>184</v>
      </c>
      <c r="C23" s="13" t="s">
        <v>117</v>
      </c>
      <c r="D23" s="13"/>
      <c r="E23" s="13"/>
      <c r="F23" s="13" t="s">
        <v>130</v>
      </c>
      <c r="G23" s="13" t="s">
        <v>185</v>
      </c>
      <c r="H23" s="14">
        <f t="shared" si="15"/>
        <v>300</v>
      </c>
      <c r="I23" s="14">
        <v>300</v>
      </c>
      <c r="J23" s="14"/>
      <c r="K23" s="14"/>
      <c r="L23" s="14"/>
      <c r="M23" s="14">
        <f t="shared" si="6"/>
        <v>0</v>
      </c>
      <c r="N23" s="14"/>
      <c r="O23" s="14"/>
      <c r="P23" s="14"/>
      <c r="Q23" s="14" t="s">
        <v>139</v>
      </c>
      <c r="R23" s="14">
        <f t="shared" si="7"/>
        <v>-162</v>
      </c>
      <c r="S23" s="14">
        <f>-80+-80+-2</f>
        <v>-162</v>
      </c>
      <c r="T23" s="14"/>
      <c r="U23" s="14"/>
      <c r="V23" s="14" t="s">
        <v>131</v>
      </c>
      <c r="W23" s="14">
        <f t="shared" si="8"/>
        <v>-48.17169</v>
      </c>
      <c r="X23" s="14">
        <f>-28.79+-0.4+-1.947+-17.03469</f>
        <v>-48.17169</v>
      </c>
      <c r="Y23" s="14"/>
      <c r="Z23" s="14"/>
      <c r="AA23" s="14">
        <f t="shared" si="9"/>
        <v>89.82831</v>
      </c>
      <c r="AB23" s="14">
        <f t="shared" si="11"/>
        <v>89.82831</v>
      </c>
      <c r="AC23" s="14">
        <f t="shared" si="12"/>
        <v>0</v>
      </c>
      <c r="AD23" s="14">
        <f t="shared" si="13"/>
        <v>0</v>
      </c>
    </row>
    <row r="24" ht="42" customHeight="1" spans="1:30">
      <c r="A24" s="13">
        <v>29</v>
      </c>
      <c r="B24" s="13" t="s">
        <v>186</v>
      </c>
      <c r="C24" s="13" t="s">
        <v>117</v>
      </c>
      <c r="D24" s="13"/>
      <c r="E24" s="13"/>
      <c r="F24" s="13" t="s">
        <v>124</v>
      </c>
      <c r="G24" s="13" t="s">
        <v>187</v>
      </c>
      <c r="H24" s="14">
        <f t="shared" si="15"/>
        <v>198</v>
      </c>
      <c r="I24" s="14">
        <v>198</v>
      </c>
      <c r="J24" s="14"/>
      <c r="K24" s="14"/>
      <c r="L24" s="14"/>
      <c r="M24" s="14">
        <f t="shared" si="6"/>
        <v>0</v>
      </c>
      <c r="N24" s="14"/>
      <c r="O24" s="14"/>
      <c r="P24" s="14"/>
      <c r="Q24" s="14" t="s">
        <v>139</v>
      </c>
      <c r="R24" s="14">
        <f t="shared" si="7"/>
        <v>-55</v>
      </c>
      <c r="S24" s="14">
        <v>-55</v>
      </c>
      <c r="T24" s="14"/>
      <c r="U24" s="14"/>
      <c r="V24" s="14" t="s">
        <v>131</v>
      </c>
      <c r="W24" s="14">
        <f t="shared" si="8"/>
        <v>-58.8562</v>
      </c>
      <c r="X24" s="14">
        <f>-1.7332+-57.123</f>
        <v>-58.8562</v>
      </c>
      <c r="Y24" s="14"/>
      <c r="Z24" s="14"/>
      <c r="AA24" s="14">
        <f t="shared" si="9"/>
        <v>84.1438</v>
      </c>
      <c r="AB24" s="14">
        <f t="shared" si="11"/>
        <v>84.1438</v>
      </c>
      <c r="AC24" s="14">
        <f t="shared" si="12"/>
        <v>0</v>
      </c>
      <c r="AD24" s="14">
        <f t="shared" si="13"/>
        <v>0</v>
      </c>
    </row>
    <row r="25" ht="42" customHeight="1" spans="1:30">
      <c r="A25" s="13">
        <v>30</v>
      </c>
      <c r="B25" s="13" t="s">
        <v>188</v>
      </c>
      <c r="C25" s="13" t="s">
        <v>117</v>
      </c>
      <c r="D25" s="13"/>
      <c r="E25" s="13"/>
      <c r="F25" s="13" t="s">
        <v>124</v>
      </c>
      <c r="G25" s="13" t="s">
        <v>189</v>
      </c>
      <c r="H25" s="14">
        <f t="shared" si="15"/>
        <v>200</v>
      </c>
      <c r="I25" s="14">
        <v>200</v>
      </c>
      <c r="J25" s="14"/>
      <c r="K25" s="14"/>
      <c r="L25" s="14"/>
      <c r="M25" s="14">
        <f t="shared" si="6"/>
        <v>0</v>
      </c>
      <c r="N25" s="14"/>
      <c r="O25" s="14"/>
      <c r="P25" s="14"/>
      <c r="Q25" s="14"/>
      <c r="R25" s="14">
        <f t="shared" si="7"/>
        <v>0</v>
      </c>
      <c r="S25" s="14"/>
      <c r="T25" s="14"/>
      <c r="U25" s="14"/>
      <c r="V25" s="14" t="s">
        <v>131</v>
      </c>
      <c r="W25" s="14">
        <f t="shared" si="8"/>
        <v>-81.6966</v>
      </c>
      <c r="X25" s="14">
        <v>-81.6966</v>
      </c>
      <c r="Y25" s="14"/>
      <c r="Z25" s="14"/>
      <c r="AA25" s="14">
        <f t="shared" si="9"/>
        <v>118.3034</v>
      </c>
      <c r="AB25" s="14">
        <f t="shared" si="11"/>
        <v>118.3034</v>
      </c>
      <c r="AC25" s="14">
        <f t="shared" si="12"/>
        <v>0</v>
      </c>
      <c r="AD25" s="14">
        <f t="shared" si="13"/>
        <v>0</v>
      </c>
    </row>
    <row r="26" ht="24" customHeight="1" spans="1:30">
      <c r="A26" s="13">
        <v>31</v>
      </c>
      <c r="B26" s="13" t="s">
        <v>190</v>
      </c>
      <c r="C26" s="13" t="s">
        <v>117</v>
      </c>
      <c r="D26" s="13"/>
      <c r="E26" s="13"/>
      <c r="F26" s="13" t="s">
        <v>98</v>
      </c>
      <c r="G26" s="13" t="s">
        <v>133</v>
      </c>
      <c r="H26" s="14">
        <f t="shared" si="15"/>
        <v>0</v>
      </c>
      <c r="I26" s="14"/>
      <c r="J26" s="14"/>
      <c r="K26" s="14"/>
      <c r="L26" s="14"/>
      <c r="M26" s="14">
        <f t="shared" si="6"/>
        <v>0</v>
      </c>
      <c r="N26" s="14"/>
      <c r="O26" s="14"/>
      <c r="P26" s="14"/>
      <c r="Q26" s="14" t="s">
        <v>139</v>
      </c>
      <c r="R26" s="14">
        <f t="shared" si="7"/>
        <v>104.681652</v>
      </c>
      <c r="S26" s="14"/>
      <c r="T26" s="14"/>
      <c r="U26" s="14">
        <v>104.681652</v>
      </c>
      <c r="V26" s="14"/>
      <c r="W26" s="14">
        <f t="shared" si="8"/>
        <v>0</v>
      </c>
      <c r="X26" s="14"/>
      <c r="Y26" s="14"/>
      <c r="Z26" s="14"/>
      <c r="AA26" s="14">
        <f t="shared" si="9"/>
        <v>104.681652</v>
      </c>
      <c r="AB26" s="14">
        <f t="shared" si="11"/>
        <v>0</v>
      </c>
      <c r="AC26" s="14">
        <f t="shared" si="12"/>
        <v>0</v>
      </c>
      <c r="AD26" s="14">
        <f t="shared" si="13"/>
        <v>104.681652</v>
      </c>
    </row>
    <row r="27" spans="1:12">
      <c r="A27" s="15" t="s">
        <v>191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</sheetData>
  <autoFilter ref="A8:K29"/>
  <mergeCells count="34">
    <mergeCell ref="A1:C1"/>
    <mergeCell ref="A2:K2"/>
    <mergeCell ref="A3:B3"/>
    <mergeCell ref="H4:K4"/>
    <mergeCell ref="M4:P4"/>
    <mergeCell ref="R4:U4"/>
    <mergeCell ref="W4:Z4"/>
    <mergeCell ref="AA4:AD4"/>
    <mergeCell ref="I5:K5"/>
    <mergeCell ref="N5:P5"/>
    <mergeCell ref="S5:U5"/>
    <mergeCell ref="X5:Z5"/>
    <mergeCell ref="AB5:AD5"/>
    <mergeCell ref="I6:K6"/>
    <mergeCell ref="N6:P6"/>
    <mergeCell ref="S6:U6"/>
    <mergeCell ref="X6:Z6"/>
    <mergeCell ref="AB6:AD6"/>
    <mergeCell ref="A4:A7"/>
    <mergeCell ref="B4:B7"/>
    <mergeCell ref="C4:C7"/>
    <mergeCell ref="D4:D7"/>
    <mergeCell ref="E4:E7"/>
    <mergeCell ref="F4:F7"/>
    <mergeCell ref="G4:G7"/>
    <mergeCell ref="H5:H7"/>
    <mergeCell ref="L4:L7"/>
    <mergeCell ref="M5:M7"/>
    <mergeCell ref="Q4:Q7"/>
    <mergeCell ref="R5:R7"/>
    <mergeCell ref="V4:V7"/>
    <mergeCell ref="W5:W7"/>
    <mergeCell ref="AA5:AA7"/>
    <mergeCell ref="A27:K29"/>
  </mergeCells>
  <pageMargins left="0.707638888888889" right="0.707638888888889" top="0.747916666666667" bottom="0.747916666666667" header="0.313888888888889" footer="0.313888888888889"/>
  <pageSetup paperSize="9" scale="3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49"/>
  <sheetViews>
    <sheetView workbookViewId="0">
      <selection activeCell="A2" sqref="A2:U2"/>
    </sheetView>
  </sheetViews>
  <sheetFormatPr defaultColWidth="9" defaultRowHeight="13.5"/>
  <cols>
    <col min="1" max="1" width="4.25833333333333" customWidth="1"/>
    <col min="2" max="2" width="11.3833333333333" customWidth="1"/>
    <col min="3" max="3" width="14.3833333333333" customWidth="1"/>
    <col min="4" max="4" width="19" customWidth="1"/>
    <col min="5" max="5" width="14.7583333333333" customWidth="1"/>
    <col min="6" max="6" width="8.38333333333333" customWidth="1"/>
    <col min="7" max="7" width="9.88333333333333" customWidth="1"/>
    <col min="8" max="8" width="9" customWidth="1"/>
    <col min="9" max="9" width="9.25833333333333" customWidth="1"/>
    <col min="10" max="10" width="8.25833333333333" customWidth="1"/>
    <col min="11" max="11" width="8.38333333333333" customWidth="1"/>
    <col min="12" max="12" width="7.38333333333333" customWidth="1"/>
    <col min="13" max="13" width="8" customWidth="1"/>
    <col min="14" max="14" width="8.75833333333333" customWidth="1"/>
    <col min="15" max="15" width="8.13333333333333" customWidth="1"/>
    <col min="16" max="16" width="8.63333333333333" customWidth="1"/>
    <col min="17" max="17" width="10.6333333333333" customWidth="1"/>
    <col min="18" max="18" width="7.88333333333333" customWidth="1"/>
    <col min="19" max="19" width="8.5" customWidth="1"/>
    <col min="20" max="20" width="7.25833333333333" customWidth="1"/>
    <col min="21" max="21" width="9.63333333333333" customWidth="1"/>
  </cols>
  <sheetData>
    <row r="1" ht="18.75" spans="1:3">
      <c r="A1" s="2" t="s">
        <v>56</v>
      </c>
      <c r="B1" s="2"/>
      <c r="C1" s="2"/>
    </row>
    <row r="2" ht="24" customHeight="1" spans="1:21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4" customHeight="1" spans="1:21">
      <c r="A3" s="4" t="s">
        <v>58</v>
      </c>
      <c r="B3" s="4"/>
      <c r="C3" s="5"/>
      <c r="D3" s="5" t="s">
        <v>59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7" t="s">
        <v>60</v>
      </c>
      <c r="S3" s="57"/>
      <c r="T3" s="57"/>
      <c r="U3" s="57"/>
    </row>
    <row r="4" spans="1:21">
      <c r="A4" s="110" t="s">
        <v>3</v>
      </c>
      <c r="B4" s="111" t="s">
        <v>4</v>
      </c>
      <c r="C4" s="111" t="s">
        <v>5</v>
      </c>
      <c r="D4" s="111" t="s">
        <v>6</v>
      </c>
      <c r="E4" s="111" t="s">
        <v>7</v>
      </c>
      <c r="F4" s="112" t="s">
        <v>8</v>
      </c>
      <c r="G4" s="113"/>
      <c r="H4" s="113"/>
      <c r="I4" s="113"/>
      <c r="J4" s="113"/>
      <c r="K4" s="113"/>
      <c r="L4" s="123"/>
      <c r="M4" s="124" t="s">
        <v>9</v>
      </c>
      <c r="N4" s="125" t="s">
        <v>10</v>
      </c>
      <c r="O4" s="126" t="s">
        <v>11</v>
      </c>
      <c r="P4" s="6" t="s">
        <v>12</v>
      </c>
      <c r="Q4" s="17" t="s">
        <v>13</v>
      </c>
      <c r="R4" s="16"/>
      <c r="S4" s="20"/>
      <c r="T4" s="6" t="s">
        <v>14</v>
      </c>
      <c r="U4" s="6" t="s">
        <v>15</v>
      </c>
    </row>
    <row r="5" ht="14.45" customHeight="1" spans="1:21">
      <c r="A5" s="114"/>
      <c r="B5" s="8"/>
      <c r="C5" s="8"/>
      <c r="D5" s="8"/>
      <c r="E5" s="8"/>
      <c r="F5" s="9" t="s">
        <v>16</v>
      </c>
      <c r="G5" s="17" t="s">
        <v>17</v>
      </c>
      <c r="H5" s="16"/>
      <c r="I5" s="16"/>
      <c r="J5" s="16"/>
      <c r="K5" s="16"/>
      <c r="L5" s="20"/>
      <c r="M5" s="8"/>
      <c r="N5" s="127"/>
      <c r="O5" s="128"/>
      <c r="P5" s="8"/>
      <c r="Q5" s="6" t="s">
        <v>18</v>
      </c>
      <c r="R5" s="6" t="s">
        <v>19</v>
      </c>
      <c r="S5" s="6" t="s">
        <v>20</v>
      </c>
      <c r="T5" s="8"/>
      <c r="U5" s="8"/>
    </row>
    <row r="6" customHeight="1" spans="1:21">
      <c r="A6" s="114"/>
      <c r="B6" s="8"/>
      <c r="C6" s="8"/>
      <c r="D6" s="8"/>
      <c r="E6" s="8"/>
      <c r="F6" s="10"/>
      <c r="G6" s="9" t="s">
        <v>21</v>
      </c>
      <c r="H6" s="10"/>
      <c r="I6" s="10"/>
      <c r="J6" s="9" t="s">
        <v>22</v>
      </c>
      <c r="K6" s="9" t="s">
        <v>23</v>
      </c>
      <c r="L6" s="9" t="s">
        <v>24</v>
      </c>
      <c r="M6" s="8"/>
      <c r="N6" s="127"/>
      <c r="O6" s="128"/>
      <c r="P6" s="8"/>
      <c r="Q6" s="8"/>
      <c r="R6" s="8"/>
      <c r="S6" s="8"/>
      <c r="T6" s="8"/>
      <c r="U6" s="8"/>
    </row>
    <row r="7" ht="49.9" customHeight="1" spans="1:21">
      <c r="A7" s="115"/>
      <c r="B7" s="11"/>
      <c r="C7" s="11"/>
      <c r="D7" s="11"/>
      <c r="E7" s="11"/>
      <c r="F7" s="10"/>
      <c r="G7" s="9" t="s">
        <v>25</v>
      </c>
      <c r="H7" s="9" t="s">
        <v>26</v>
      </c>
      <c r="I7" s="9" t="s">
        <v>27</v>
      </c>
      <c r="J7" s="9"/>
      <c r="K7" s="9"/>
      <c r="L7" s="9"/>
      <c r="M7" s="11"/>
      <c r="N7" s="129"/>
      <c r="O7" s="130"/>
      <c r="P7" s="11"/>
      <c r="Q7" s="11"/>
      <c r="R7" s="11"/>
      <c r="S7" s="11"/>
      <c r="T7" s="11"/>
      <c r="U7" s="11"/>
    </row>
    <row r="8" ht="15" customHeight="1" spans="1:21">
      <c r="A8" s="116" t="s">
        <v>16</v>
      </c>
      <c r="B8" s="11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1"/>
      <c r="O8" s="117"/>
      <c r="P8" s="13"/>
      <c r="Q8" s="13"/>
      <c r="R8" s="13"/>
      <c r="S8" s="13"/>
      <c r="T8" s="13"/>
      <c r="U8" s="13"/>
    </row>
    <row r="9" ht="15" customHeight="1" spans="1:21">
      <c r="A9" s="118" t="s">
        <v>28</v>
      </c>
      <c r="B9" s="13" t="s">
        <v>29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1"/>
      <c r="O9" s="117"/>
      <c r="P9" s="13"/>
      <c r="Q9" s="13"/>
      <c r="R9" s="13"/>
      <c r="S9" s="13"/>
      <c r="T9" s="13"/>
      <c r="U9" s="13"/>
    </row>
    <row r="10" ht="15" customHeight="1" spans="1:21">
      <c r="A10" s="118">
        <v>1</v>
      </c>
      <c r="B10" s="13"/>
      <c r="C10" s="13"/>
      <c r="D10" s="13"/>
      <c r="E10" s="13" t="s">
        <v>61</v>
      </c>
      <c r="F10" s="13"/>
      <c r="G10" s="13"/>
      <c r="H10" s="13"/>
      <c r="I10" s="13"/>
      <c r="J10" s="13"/>
      <c r="K10" s="13"/>
      <c r="L10" s="13"/>
      <c r="M10" s="13"/>
      <c r="N10" s="131"/>
      <c r="O10" s="117"/>
      <c r="P10" s="13"/>
      <c r="Q10" s="13"/>
      <c r="R10" s="13"/>
      <c r="S10" s="13"/>
      <c r="T10" s="13"/>
      <c r="U10" s="13"/>
    </row>
    <row r="11" ht="15" customHeight="1" spans="1:21">
      <c r="A11" s="118" t="s">
        <v>30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1"/>
      <c r="O11" s="117"/>
      <c r="P11" s="13"/>
      <c r="Q11" s="13"/>
      <c r="R11" s="13"/>
      <c r="S11" s="13"/>
      <c r="T11" s="13"/>
      <c r="U11" s="13"/>
    </row>
    <row r="12" ht="15" customHeight="1" spans="1:21">
      <c r="A12" s="118" t="s">
        <v>31</v>
      </c>
      <c r="B12" s="13" t="s">
        <v>32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1"/>
      <c r="O12" s="117"/>
      <c r="P12" s="13"/>
      <c r="Q12" s="13"/>
      <c r="R12" s="13"/>
      <c r="S12" s="13"/>
      <c r="T12" s="13"/>
      <c r="U12" s="13"/>
    </row>
    <row r="13" ht="15" customHeight="1" spans="1:21">
      <c r="A13" s="118">
        <v>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1"/>
      <c r="O13" s="117"/>
      <c r="P13" s="13"/>
      <c r="Q13" s="13"/>
      <c r="R13" s="13"/>
      <c r="S13" s="13"/>
      <c r="T13" s="13"/>
      <c r="U13" s="13"/>
    </row>
    <row r="14" ht="15" customHeight="1" spans="1:21">
      <c r="A14" s="118" t="s">
        <v>30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1"/>
      <c r="O14" s="117"/>
      <c r="P14" s="13"/>
      <c r="Q14" s="13"/>
      <c r="R14" s="13"/>
      <c r="S14" s="13"/>
      <c r="T14" s="13"/>
      <c r="U14" s="13"/>
    </row>
    <row r="15" ht="15" customHeight="1" spans="1:21">
      <c r="A15" s="118" t="s">
        <v>33</v>
      </c>
      <c r="B15" s="13" t="s">
        <v>34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1"/>
      <c r="O15" s="117"/>
      <c r="P15" s="13"/>
      <c r="Q15" s="13"/>
      <c r="R15" s="13"/>
      <c r="S15" s="13"/>
      <c r="T15" s="13"/>
      <c r="U15" s="13"/>
    </row>
    <row r="16" ht="15" customHeight="1" spans="1:21">
      <c r="A16" s="118">
        <v>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1"/>
      <c r="O16" s="117"/>
      <c r="P16" s="13"/>
      <c r="Q16" s="13"/>
      <c r="R16" s="13"/>
      <c r="S16" s="13"/>
      <c r="T16" s="13"/>
      <c r="U16" s="13"/>
    </row>
    <row r="17" ht="15" customHeight="1" spans="1:21">
      <c r="A17" s="118" t="s">
        <v>30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1"/>
      <c r="O17" s="117"/>
      <c r="P17" s="13"/>
      <c r="Q17" s="13"/>
      <c r="R17" s="13"/>
      <c r="S17" s="13"/>
      <c r="T17" s="13"/>
      <c r="U17" s="13"/>
    </row>
    <row r="18" ht="15" customHeight="1" spans="1:21">
      <c r="A18" s="118" t="s">
        <v>35</v>
      </c>
      <c r="B18" s="13" t="s">
        <v>36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1"/>
      <c r="O18" s="117"/>
      <c r="P18" s="13"/>
      <c r="Q18" s="13"/>
      <c r="R18" s="13"/>
      <c r="S18" s="13"/>
      <c r="T18" s="13"/>
      <c r="U18" s="13"/>
    </row>
    <row r="19" ht="15" customHeight="1" spans="1:21">
      <c r="A19" s="118">
        <v>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1"/>
      <c r="O19" s="117"/>
      <c r="P19" s="13"/>
      <c r="Q19" s="13"/>
      <c r="R19" s="13"/>
      <c r="S19" s="13"/>
      <c r="T19" s="13"/>
      <c r="U19" s="13"/>
    </row>
    <row r="20" ht="15" customHeight="1" spans="1:21">
      <c r="A20" s="118" t="s">
        <v>30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1"/>
      <c r="O20" s="117"/>
      <c r="P20" s="13"/>
      <c r="Q20" s="13"/>
      <c r="R20" s="13"/>
      <c r="S20" s="13"/>
      <c r="T20" s="13"/>
      <c r="U20" s="13"/>
    </row>
    <row r="21" ht="15" customHeight="1" spans="1:21">
      <c r="A21" s="118" t="s">
        <v>37</v>
      </c>
      <c r="B21" s="13" t="s">
        <v>38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1"/>
      <c r="O21" s="117"/>
      <c r="P21" s="13"/>
      <c r="Q21" s="13"/>
      <c r="R21" s="13"/>
      <c r="S21" s="13"/>
      <c r="T21" s="13"/>
      <c r="U21" s="13"/>
    </row>
    <row r="22" ht="15" customHeight="1" spans="1:21">
      <c r="A22" s="118">
        <v>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1"/>
      <c r="O22" s="117"/>
      <c r="P22" s="13"/>
      <c r="Q22" s="13"/>
      <c r="R22" s="13"/>
      <c r="S22" s="13"/>
      <c r="T22" s="13"/>
      <c r="U22" s="13"/>
    </row>
    <row r="23" ht="15" customHeight="1" spans="1:21">
      <c r="A23" s="118" t="s">
        <v>30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1"/>
      <c r="O23" s="117"/>
      <c r="P23" s="13"/>
      <c r="Q23" s="13"/>
      <c r="R23" s="13"/>
      <c r="S23" s="13"/>
      <c r="T23" s="13"/>
      <c r="U23" s="13"/>
    </row>
    <row r="24" ht="15" customHeight="1" spans="1:21">
      <c r="A24" s="118" t="s">
        <v>39</v>
      </c>
      <c r="B24" s="13" t="s">
        <v>40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1"/>
      <c r="O24" s="117"/>
      <c r="P24" s="13"/>
      <c r="Q24" s="13"/>
      <c r="R24" s="13"/>
      <c r="S24" s="13"/>
      <c r="T24" s="13"/>
      <c r="U24" s="13"/>
    </row>
    <row r="25" ht="15" customHeight="1" spans="1:21">
      <c r="A25" s="118">
        <v>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1"/>
      <c r="O25" s="117"/>
      <c r="P25" s="13"/>
      <c r="Q25" s="13"/>
      <c r="R25" s="13"/>
      <c r="S25" s="13"/>
      <c r="T25" s="13"/>
      <c r="U25" s="13"/>
    </row>
    <row r="26" ht="15" customHeight="1" spans="1:21">
      <c r="A26" s="118" t="s">
        <v>30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1"/>
      <c r="O26" s="117"/>
      <c r="P26" s="13"/>
      <c r="Q26" s="13"/>
      <c r="R26" s="13"/>
      <c r="S26" s="13"/>
      <c r="T26" s="13"/>
      <c r="U26" s="13"/>
    </row>
    <row r="27" ht="15" customHeight="1" spans="1:21">
      <c r="A27" s="118" t="s">
        <v>41</v>
      </c>
      <c r="B27" s="13" t="s">
        <v>42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1"/>
      <c r="O27" s="117"/>
      <c r="P27" s="13"/>
      <c r="Q27" s="13"/>
      <c r="R27" s="13"/>
      <c r="S27" s="13"/>
      <c r="T27" s="13"/>
      <c r="U27" s="13"/>
    </row>
    <row r="28" ht="15" customHeight="1" spans="1:21">
      <c r="A28" s="118">
        <v>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1"/>
      <c r="O28" s="117"/>
      <c r="P28" s="13"/>
      <c r="Q28" s="13"/>
      <c r="R28" s="13"/>
      <c r="S28" s="13"/>
      <c r="T28" s="13"/>
      <c r="U28" s="13"/>
    </row>
    <row r="29" ht="15" customHeight="1" spans="1:21">
      <c r="A29" s="118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1"/>
      <c r="O29" s="117"/>
      <c r="P29" s="13"/>
      <c r="Q29" s="13"/>
      <c r="R29" s="13"/>
      <c r="S29" s="13"/>
      <c r="T29" s="13"/>
      <c r="U29" s="13"/>
    </row>
    <row r="30" ht="15" customHeight="1" spans="1:21">
      <c r="A30" s="118" t="s">
        <v>43</v>
      </c>
      <c r="B30" s="13" t="s">
        <v>44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1"/>
      <c r="O30" s="117"/>
      <c r="P30" s="13"/>
      <c r="Q30" s="13"/>
      <c r="R30" s="13"/>
      <c r="S30" s="13"/>
      <c r="T30" s="13"/>
      <c r="U30" s="13"/>
    </row>
    <row r="31" ht="15" customHeight="1" spans="1:21">
      <c r="A31" s="118">
        <v>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1"/>
      <c r="O31" s="117"/>
      <c r="P31" s="13"/>
      <c r="Q31" s="13"/>
      <c r="R31" s="13"/>
      <c r="S31" s="13"/>
      <c r="T31" s="13"/>
      <c r="U31" s="13"/>
    </row>
    <row r="32" ht="15" customHeight="1" spans="1:21">
      <c r="A32" s="118" t="s">
        <v>30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1"/>
      <c r="O32" s="117"/>
      <c r="P32" s="13"/>
      <c r="Q32" s="13"/>
      <c r="R32" s="13"/>
      <c r="S32" s="13"/>
      <c r="T32" s="13"/>
      <c r="U32" s="13"/>
    </row>
    <row r="33" ht="15" customHeight="1" spans="1:21">
      <c r="A33" s="118" t="s">
        <v>45</v>
      </c>
      <c r="B33" s="13" t="s">
        <v>46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1"/>
      <c r="O33" s="117"/>
      <c r="P33" s="13"/>
      <c r="Q33" s="13"/>
      <c r="R33" s="13"/>
      <c r="S33" s="13"/>
      <c r="T33" s="13"/>
      <c r="U33" s="13"/>
    </row>
    <row r="34" ht="15" customHeight="1" spans="1:21">
      <c r="A34" s="118">
        <v>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1"/>
      <c r="O34" s="117"/>
      <c r="P34" s="13"/>
      <c r="Q34" s="13"/>
      <c r="R34" s="13"/>
      <c r="S34" s="13"/>
      <c r="T34" s="13"/>
      <c r="U34" s="13"/>
    </row>
    <row r="35" ht="15" customHeight="1" spans="1:21">
      <c r="A35" s="118" t="s">
        <v>30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1"/>
      <c r="O35" s="117"/>
      <c r="P35" s="13"/>
      <c r="Q35" s="13"/>
      <c r="R35" s="13"/>
      <c r="S35" s="13"/>
      <c r="T35" s="13"/>
      <c r="U35" s="13"/>
    </row>
    <row r="36" ht="15" customHeight="1" spans="1:21">
      <c r="A36" s="118" t="s">
        <v>47</v>
      </c>
      <c r="B36" s="13" t="s">
        <v>48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1"/>
      <c r="O36" s="117"/>
      <c r="P36" s="13"/>
      <c r="Q36" s="13"/>
      <c r="R36" s="13"/>
      <c r="S36" s="13"/>
      <c r="T36" s="13"/>
      <c r="U36" s="13"/>
    </row>
    <row r="37" ht="15" customHeight="1" spans="1:21">
      <c r="A37" s="118">
        <v>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1"/>
      <c r="O37" s="117"/>
      <c r="P37" s="13"/>
      <c r="Q37" s="13"/>
      <c r="R37" s="13"/>
      <c r="S37" s="13"/>
      <c r="T37" s="13"/>
      <c r="U37" s="13"/>
    </row>
    <row r="38" ht="15" customHeight="1" spans="1:21">
      <c r="A38" s="118" t="s">
        <v>30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1"/>
      <c r="O38" s="117"/>
      <c r="P38" s="13"/>
      <c r="Q38" s="13"/>
      <c r="R38" s="13"/>
      <c r="S38" s="13"/>
      <c r="T38" s="13"/>
      <c r="U38" s="13"/>
    </row>
    <row r="39" ht="15" customHeight="1" spans="1:21">
      <c r="A39" s="118" t="s">
        <v>49</v>
      </c>
      <c r="B39" s="13" t="s">
        <v>50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1"/>
      <c r="O39" s="117"/>
      <c r="P39" s="13"/>
      <c r="Q39" s="13"/>
      <c r="R39" s="13"/>
      <c r="S39" s="13"/>
      <c r="T39" s="13"/>
      <c r="U39" s="13"/>
    </row>
    <row r="40" ht="15" customHeight="1" spans="1:21">
      <c r="A40" s="118">
        <v>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1"/>
      <c r="O40" s="117"/>
      <c r="P40" s="13"/>
      <c r="Q40" s="13"/>
      <c r="R40" s="13"/>
      <c r="S40" s="13"/>
      <c r="T40" s="13"/>
      <c r="U40" s="13"/>
    </row>
    <row r="41" ht="15" customHeight="1" spans="1:21">
      <c r="A41" s="118" t="s">
        <v>30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1"/>
      <c r="O41" s="117"/>
      <c r="P41" s="13"/>
      <c r="Q41" s="13"/>
      <c r="R41" s="13"/>
      <c r="S41" s="13"/>
      <c r="T41" s="13"/>
      <c r="U41" s="13"/>
    </row>
    <row r="42" ht="15" customHeight="1" spans="1:21">
      <c r="A42" s="118" t="s">
        <v>51</v>
      </c>
      <c r="B42" s="13" t="s">
        <v>52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1"/>
      <c r="O42" s="117"/>
      <c r="P42" s="13"/>
      <c r="Q42" s="13"/>
      <c r="R42" s="13"/>
      <c r="S42" s="13"/>
      <c r="T42" s="13"/>
      <c r="U42" s="13"/>
    </row>
    <row r="43" ht="15" customHeight="1" spans="1:21">
      <c r="A43" s="118">
        <v>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1"/>
      <c r="O43" s="117"/>
      <c r="P43" s="13"/>
      <c r="Q43" s="13"/>
      <c r="R43" s="13"/>
      <c r="S43" s="13"/>
      <c r="T43" s="13"/>
      <c r="U43" s="13"/>
    </row>
    <row r="44" ht="15" customHeight="1" spans="1:21">
      <c r="A44" s="118" t="s">
        <v>30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1"/>
      <c r="O44" s="117"/>
      <c r="P44" s="13"/>
      <c r="Q44" s="13"/>
      <c r="R44" s="13"/>
      <c r="S44" s="13"/>
      <c r="T44" s="13"/>
      <c r="U44" s="13"/>
    </row>
    <row r="45" ht="15" customHeight="1" spans="1:21">
      <c r="A45" s="118" t="s">
        <v>53</v>
      </c>
      <c r="B45" s="13" t="s">
        <v>54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1"/>
      <c r="O45" s="117"/>
      <c r="P45" s="13"/>
      <c r="Q45" s="13"/>
      <c r="R45" s="13"/>
      <c r="S45" s="13"/>
      <c r="T45" s="13"/>
      <c r="U45" s="13"/>
    </row>
    <row r="46" ht="15" customHeight="1" spans="1:21">
      <c r="A46" s="118">
        <v>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1"/>
      <c r="O46" s="117"/>
      <c r="P46" s="13"/>
      <c r="Q46" s="13"/>
      <c r="R46" s="13"/>
      <c r="S46" s="13"/>
      <c r="T46" s="13"/>
      <c r="U46" s="13"/>
    </row>
    <row r="47" ht="15" customHeight="1" spans="1:21">
      <c r="A47" s="119" t="s">
        <v>30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32"/>
      <c r="O47" s="117"/>
      <c r="P47" s="13"/>
      <c r="Q47" s="13"/>
      <c r="R47" s="13"/>
      <c r="S47" s="13"/>
      <c r="T47" s="13"/>
      <c r="U47" s="13"/>
    </row>
    <row r="48" spans="1:21">
      <c r="A48" s="121" t="s">
        <v>62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</row>
    <row r="49" ht="58.15" customHeight="1" spans="1:2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</row>
  </sheetData>
  <mergeCells count="28">
    <mergeCell ref="A1:C1"/>
    <mergeCell ref="A2:U2"/>
    <mergeCell ref="A3:B3"/>
    <mergeCell ref="R3:U3"/>
    <mergeCell ref="F4:L4"/>
    <mergeCell ref="Q4:S4"/>
    <mergeCell ref="G5:L5"/>
    <mergeCell ref="G6:I6"/>
    <mergeCell ref="A8:B8"/>
    <mergeCell ref="A4:A7"/>
    <mergeCell ref="B4:B7"/>
    <mergeCell ref="C4:C7"/>
    <mergeCell ref="D4:D7"/>
    <mergeCell ref="E4:E7"/>
    <mergeCell ref="F5:F7"/>
    <mergeCell ref="J6:J7"/>
    <mergeCell ref="K6:K7"/>
    <mergeCell ref="L6:L7"/>
    <mergeCell ref="M4:M7"/>
    <mergeCell ref="N4:N7"/>
    <mergeCell ref="O4:O7"/>
    <mergeCell ref="P4:P7"/>
    <mergeCell ref="Q5:Q7"/>
    <mergeCell ref="R5:R7"/>
    <mergeCell ref="S5:S7"/>
    <mergeCell ref="T4:T7"/>
    <mergeCell ref="U4:U7"/>
    <mergeCell ref="A48:U49"/>
  </mergeCells>
  <pageMargins left="0.707638888888889" right="0.707638888888889" top="0.747916666666667" bottom="0.747916666666667" header="0.313888888888889" footer="0.313888888888889"/>
  <pageSetup paperSize="9" scale="5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L17"/>
  <sheetViews>
    <sheetView workbookViewId="0">
      <selection activeCell="J3" sqref="J3:J5"/>
    </sheetView>
  </sheetViews>
  <sheetFormatPr defaultColWidth="9" defaultRowHeight="13.5"/>
  <cols>
    <col min="1" max="2" width="24" customWidth="1"/>
    <col min="3" max="4" width="14.1333333333333" customWidth="1"/>
    <col min="5" max="5" width="17.7583333333333" customWidth="1"/>
    <col min="6" max="6" width="20.1333333333333" customWidth="1"/>
    <col min="8" max="8" width="17.2583333333333" customWidth="1"/>
    <col min="10" max="11" width="16.1333333333333" customWidth="1"/>
  </cols>
  <sheetData>
    <row r="2" ht="24.75" customHeight="1" spans="3:11">
      <c r="C2" s="52">
        <v>2035200</v>
      </c>
      <c r="D2" s="52">
        <v>550795.62</v>
      </c>
      <c r="E2" s="52">
        <v>2712524.95</v>
      </c>
      <c r="J2">
        <v>2584164.22</v>
      </c>
      <c r="K2" s="18">
        <f>K3+K4+K5</f>
        <v>2534819.49</v>
      </c>
    </row>
    <row r="3" ht="36" spans="1:12">
      <c r="A3" s="13" t="s">
        <v>63</v>
      </c>
      <c r="B3" s="105">
        <v>151776.57</v>
      </c>
      <c r="C3" s="51">
        <f>C2*F3</f>
        <v>119449.422413608</v>
      </c>
      <c r="D3" s="51">
        <f>D2*F3</f>
        <v>32327.1514725555</v>
      </c>
      <c r="E3" s="51">
        <v>159202.8</v>
      </c>
      <c r="F3" s="106">
        <f>E3/E2</f>
        <v>0.0586917366419063</v>
      </c>
      <c r="H3" s="45" t="s">
        <v>64</v>
      </c>
      <c r="I3" s="51"/>
      <c r="J3" s="51">
        <v>1118634.35</v>
      </c>
      <c r="K3" s="51">
        <v>1097273.98</v>
      </c>
      <c r="L3">
        <f>K3/K2</f>
        <v>0.432880520419227</v>
      </c>
    </row>
    <row r="4" ht="36" spans="1:12">
      <c r="A4" s="13" t="s">
        <v>65</v>
      </c>
      <c r="B4" s="105">
        <v>300626.44</v>
      </c>
      <c r="C4" s="51">
        <f>C2*F4</f>
        <v>236595.499808398</v>
      </c>
      <c r="D4" s="51">
        <f>D2*F4</f>
        <v>64030.937994387</v>
      </c>
      <c r="E4" s="51">
        <v>315335.69</v>
      </c>
      <c r="F4" s="106">
        <f>E4/E2</f>
        <v>0.11625171963856</v>
      </c>
      <c r="H4" s="45" t="s">
        <v>66</v>
      </c>
      <c r="I4" s="51"/>
      <c r="J4" s="51">
        <v>1140450.65</v>
      </c>
      <c r="K4" s="51">
        <v>1118673.69</v>
      </c>
      <c r="L4">
        <f>K4/K2</f>
        <v>0.441322821768267</v>
      </c>
    </row>
    <row r="5" ht="30.75" customHeight="1" spans="1:12">
      <c r="A5" s="13" t="s">
        <v>67</v>
      </c>
      <c r="B5" s="105">
        <v>217108.13</v>
      </c>
      <c r="C5" s="51">
        <f>C2*F5</f>
        <v>170865.897136909</v>
      </c>
      <c r="D5" s="51">
        <f>D2*F5</f>
        <v>46242.2306163425</v>
      </c>
      <c r="E5" s="51">
        <v>227730.94</v>
      </c>
      <c r="F5" s="106">
        <f>E5/E2</f>
        <v>0.0839553346781197</v>
      </c>
      <c r="H5" s="45" t="s">
        <v>68</v>
      </c>
      <c r="I5" s="51"/>
      <c r="J5" s="51">
        <v>325079.22</v>
      </c>
      <c r="K5" s="51">
        <v>318871.82</v>
      </c>
      <c r="L5">
        <f>K5/K2</f>
        <v>0.125796657812506</v>
      </c>
    </row>
    <row r="6" ht="30.75" customHeight="1" spans="1:6">
      <c r="A6" s="13" t="s">
        <v>69</v>
      </c>
      <c r="B6" s="105">
        <v>195948.44</v>
      </c>
      <c r="C6" s="51">
        <f>C2*F6</f>
        <v>154213.049759413</v>
      </c>
      <c r="D6" s="51">
        <f>D2*F6</f>
        <v>41735.3932558603</v>
      </c>
      <c r="E6" s="51">
        <v>205535.94</v>
      </c>
      <c r="F6" s="106">
        <f>E6/E2</f>
        <v>0.0757729214619759</v>
      </c>
    </row>
    <row r="7" ht="30.75" customHeight="1" spans="1:6">
      <c r="A7" s="13" t="s">
        <v>70</v>
      </c>
      <c r="B7" s="105">
        <v>276614.49</v>
      </c>
      <c r="C7" s="51">
        <f>C2*F7</f>
        <v>217697.898124034</v>
      </c>
      <c r="D7" s="51">
        <f>D2*F7</f>
        <v>58916.592359436</v>
      </c>
      <c r="E7" s="51">
        <v>290148.87</v>
      </c>
      <c r="F7" s="106">
        <f>E7/E2</f>
        <v>0.106966341452454</v>
      </c>
    </row>
    <row r="8" ht="30.75" customHeight="1" spans="1:6">
      <c r="A8" s="13" t="s">
        <v>71</v>
      </c>
      <c r="B8" s="105">
        <v>1247804.11</v>
      </c>
      <c r="C8" s="51">
        <f>C2*F8</f>
        <v>982032.185308378</v>
      </c>
      <c r="D8" s="51">
        <f>D2*F8</f>
        <v>265771.927263602</v>
      </c>
      <c r="E8" s="51">
        <v>1308857.51</v>
      </c>
      <c r="F8" s="106">
        <f>E8/E2</f>
        <v>0.48252367595734</v>
      </c>
    </row>
    <row r="9" ht="30.75" customHeight="1" spans="1:6">
      <c r="A9" s="13" t="s">
        <v>72</v>
      </c>
      <c r="B9" s="105">
        <v>196117.44</v>
      </c>
      <c r="C9" s="51">
        <f>C2*F9</f>
        <v>154346.047449259</v>
      </c>
      <c r="D9" s="51">
        <f>D2*F9</f>
        <v>41771.3870378166</v>
      </c>
      <c r="E9" s="51">
        <v>205713.2</v>
      </c>
      <c r="F9" s="106">
        <f>E9/E2</f>
        <v>0.075838270169644</v>
      </c>
    </row>
    <row r="13" spans="3:5">
      <c r="C13" s="107">
        <v>1274500</v>
      </c>
      <c r="D13" s="108">
        <v>842984.45</v>
      </c>
      <c r="E13">
        <v>2398955.55</v>
      </c>
    </row>
    <row r="14" ht="40.5" spans="1:6">
      <c r="A14" s="109" t="s">
        <v>73</v>
      </c>
      <c r="B14" s="105">
        <v>771891.77</v>
      </c>
      <c r="C14" s="18">
        <f>C13*F14</f>
        <v>464596.594730569</v>
      </c>
      <c r="D14" s="18">
        <f>D13*F14</f>
        <v>307295.178407863</v>
      </c>
      <c r="E14">
        <v>874497.12</v>
      </c>
      <c r="F14">
        <f>E14/E13</f>
        <v>0.364532439961216</v>
      </c>
    </row>
    <row r="15" ht="40.5" spans="1:6">
      <c r="A15" s="109" t="s">
        <v>74</v>
      </c>
      <c r="B15" s="105">
        <v>307898.4</v>
      </c>
      <c r="C15" s="18">
        <f>C13*F15</f>
        <v>185322.029216006</v>
      </c>
      <c r="D15" s="18">
        <f>D13*F15</f>
        <v>122576.374163624</v>
      </c>
      <c r="E15">
        <v>348826.45</v>
      </c>
      <c r="F15">
        <f>E15/E13</f>
        <v>0.14540763375128</v>
      </c>
    </row>
    <row r="16" ht="40.5" spans="1:6">
      <c r="A16" s="109" t="s">
        <v>75</v>
      </c>
      <c r="B16" s="105">
        <v>677095.52</v>
      </c>
      <c r="C16" s="18">
        <f>C13*F16</f>
        <v>407539.349495242</v>
      </c>
      <c r="D16" s="18">
        <f>D13*F16</f>
        <v>269556.166643864</v>
      </c>
      <c r="E16">
        <v>767099.87</v>
      </c>
      <c r="F16">
        <f>E16/E13</f>
        <v>0.319764103173983</v>
      </c>
    </row>
    <row r="17" ht="27" spans="1:6">
      <c r="A17" s="109" t="s">
        <v>76</v>
      </c>
      <c r="B17" s="105">
        <v>360598.76</v>
      </c>
      <c r="C17" s="18">
        <f>C13*F17</f>
        <v>217042.026558183</v>
      </c>
      <c r="D17" s="18">
        <f>D13*F17</f>
        <v>143556.730784649</v>
      </c>
      <c r="E17">
        <v>408532.11</v>
      </c>
      <c r="F17">
        <f>E17/E13</f>
        <v>0.170295823113521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tabColor rgb="FF92D050"/>
    <pageSetUpPr fitToPage="1"/>
  </sheetPr>
  <dimension ref="A1:W99"/>
  <sheetViews>
    <sheetView workbookViewId="0">
      <pane xSplit="13" ySplit="11" topLeftCell="N12" activePane="bottomRight" state="frozen"/>
      <selection/>
      <selection pane="topRight"/>
      <selection pane="bottomLeft"/>
      <selection pane="bottomRight" activeCell="G66" sqref="G66"/>
    </sheetView>
  </sheetViews>
  <sheetFormatPr defaultColWidth="9" defaultRowHeight="13.5"/>
  <cols>
    <col min="1" max="1" width="4.25833333333333" customWidth="1"/>
    <col min="2" max="2" width="32.1333333333333" customWidth="1"/>
    <col min="3" max="3" width="14.3833333333333" customWidth="1"/>
    <col min="4" max="5" width="19" customWidth="1"/>
    <col min="6" max="7" width="17.5" customWidth="1"/>
    <col min="8" max="11" width="14.5" customWidth="1"/>
    <col min="12" max="13" width="12.8833333333333" customWidth="1"/>
    <col min="14" max="14" width="7.38333333333333" customWidth="1"/>
    <col min="15" max="15" width="8" customWidth="1"/>
    <col min="16" max="16" width="8.75833333333333" customWidth="1"/>
    <col min="17" max="17" width="8.13333333333333" customWidth="1"/>
    <col min="18" max="18" width="8.63333333333333" customWidth="1"/>
    <col min="19" max="19" width="10.6333333333333" customWidth="1"/>
    <col min="20" max="20" width="7.88333333333333" customWidth="1"/>
    <col min="21" max="21" width="8.5" customWidth="1"/>
    <col min="22" max="22" width="7.25833333333333" customWidth="1"/>
    <col min="23" max="23" width="9.63333333333333" customWidth="1"/>
  </cols>
  <sheetData>
    <row r="1" ht="26.25" customHeight="1" spans="1:3">
      <c r="A1" s="2" t="s">
        <v>77</v>
      </c>
      <c r="B1" s="2"/>
      <c r="C1" s="2"/>
    </row>
    <row r="2" ht="26.25" customHeight="1" spans="1:23">
      <c r="A2" s="3" t="s">
        <v>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26.25" customHeight="1" spans="1:23">
      <c r="A3" s="4" t="s">
        <v>58</v>
      </c>
      <c r="B3" s="4"/>
      <c r="C3" s="5"/>
      <c r="D3" s="5" t="s">
        <v>59</v>
      </c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57" t="s">
        <v>60</v>
      </c>
      <c r="U3" s="57"/>
      <c r="V3" s="57"/>
      <c r="W3" s="57"/>
    </row>
    <row r="4" ht="19.5" customHeight="1" spans="1:23">
      <c r="A4" s="6" t="s">
        <v>3</v>
      </c>
      <c r="B4" s="6" t="s">
        <v>4</v>
      </c>
      <c r="C4" s="6" t="s">
        <v>5</v>
      </c>
      <c r="D4" s="6" t="s">
        <v>6</v>
      </c>
      <c r="E4" s="6" t="s">
        <v>79</v>
      </c>
      <c r="F4" s="6" t="s">
        <v>7</v>
      </c>
      <c r="G4" s="6" t="s">
        <v>80</v>
      </c>
      <c r="H4" s="7" t="s">
        <v>8</v>
      </c>
      <c r="I4" s="16"/>
      <c r="J4" s="16"/>
      <c r="K4" s="16"/>
      <c r="L4" s="16"/>
      <c r="M4" s="16"/>
      <c r="N4" s="20"/>
      <c r="O4" s="56" t="s">
        <v>9</v>
      </c>
      <c r="P4" s="56" t="s">
        <v>10</v>
      </c>
      <c r="Q4" s="6" t="s">
        <v>11</v>
      </c>
      <c r="R4" s="6" t="s">
        <v>12</v>
      </c>
      <c r="S4" s="17" t="s">
        <v>13</v>
      </c>
      <c r="T4" s="16"/>
      <c r="U4" s="20"/>
      <c r="V4" s="6" t="s">
        <v>14</v>
      </c>
      <c r="W4" s="6" t="s">
        <v>15</v>
      </c>
    </row>
    <row r="5" ht="19.5" customHeight="1" spans="1:23">
      <c r="A5" s="8"/>
      <c r="B5" s="8"/>
      <c r="C5" s="8"/>
      <c r="D5" s="8"/>
      <c r="E5" s="8"/>
      <c r="F5" s="8"/>
      <c r="G5" s="8"/>
      <c r="H5" s="9" t="s">
        <v>16</v>
      </c>
      <c r="I5" s="17" t="s">
        <v>17</v>
      </c>
      <c r="J5" s="16"/>
      <c r="K5" s="16"/>
      <c r="L5" s="16"/>
      <c r="M5" s="16"/>
      <c r="N5" s="20"/>
      <c r="O5" s="8"/>
      <c r="P5" s="8"/>
      <c r="Q5" s="8"/>
      <c r="R5" s="8"/>
      <c r="S5" s="6" t="s">
        <v>18</v>
      </c>
      <c r="T5" s="6" t="s">
        <v>19</v>
      </c>
      <c r="U5" s="6" t="s">
        <v>20</v>
      </c>
      <c r="V5" s="8"/>
      <c r="W5" s="8"/>
    </row>
    <row r="6" ht="19.5" customHeight="1" spans="1:23">
      <c r="A6" s="8"/>
      <c r="B6" s="8"/>
      <c r="C6" s="8"/>
      <c r="D6" s="8"/>
      <c r="E6" s="8"/>
      <c r="F6" s="8"/>
      <c r="G6" s="8"/>
      <c r="H6" s="10"/>
      <c r="I6" s="9" t="s">
        <v>81</v>
      </c>
      <c r="J6" s="10"/>
      <c r="K6" s="10"/>
      <c r="L6" s="9" t="s">
        <v>22</v>
      </c>
      <c r="M6" s="9" t="s">
        <v>82</v>
      </c>
      <c r="N6" s="9" t="s">
        <v>83</v>
      </c>
      <c r="O6" s="8"/>
      <c r="P6" s="8"/>
      <c r="Q6" s="8"/>
      <c r="R6" s="8"/>
      <c r="S6" s="8"/>
      <c r="T6" s="8"/>
      <c r="U6" s="8"/>
      <c r="V6" s="8"/>
      <c r="W6" s="8"/>
    </row>
    <row r="7" ht="49.9" customHeight="1" spans="1:23">
      <c r="A7" s="11"/>
      <c r="B7" s="11"/>
      <c r="C7" s="11"/>
      <c r="D7" s="11"/>
      <c r="E7" s="11"/>
      <c r="F7" s="11"/>
      <c r="G7" s="11"/>
      <c r="H7" s="10"/>
      <c r="I7" s="9" t="s">
        <v>25</v>
      </c>
      <c r="J7" s="9" t="s">
        <v>26</v>
      </c>
      <c r="K7" s="9" t="s">
        <v>27</v>
      </c>
      <c r="L7" s="9"/>
      <c r="M7" s="9"/>
      <c r="N7" s="9"/>
      <c r="O7" s="11"/>
      <c r="P7" s="11"/>
      <c r="Q7" s="11"/>
      <c r="R7" s="11"/>
      <c r="S7" s="11"/>
      <c r="T7" s="11"/>
      <c r="U7" s="11"/>
      <c r="V7" s="11"/>
      <c r="W7" s="11"/>
    </row>
    <row r="8" s="1" customFormat="1" ht="24" customHeight="1" spans="1:23">
      <c r="A8" s="17" t="s">
        <v>16</v>
      </c>
      <c r="B8" s="20"/>
      <c r="C8" s="9"/>
      <c r="D8" s="9"/>
      <c r="E8" s="9"/>
      <c r="F8" s="9"/>
      <c r="G8" s="9"/>
      <c r="H8" s="12">
        <f t="shared" ref="H8:H10" si="0">I8+J8+K8</f>
        <v>29508931</v>
      </c>
      <c r="I8" s="12">
        <f t="shared" ref="I8:K8" si="1">I9+I29+I59</f>
        <v>12004234</v>
      </c>
      <c r="J8" s="12">
        <f t="shared" si="1"/>
        <v>7502097</v>
      </c>
      <c r="K8" s="12">
        <f t="shared" si="1"/>
        <v>10002600</v>
      </c>
      <c r="L8" s="9"/>
      <c r="M8" s="12">
        <f>M9+M29+M59</f>
        <v>1.39858</v>
      </c>
      <c r="N8" s="9"/>
      <c r="O8" s="9"/>
      <c r="P8" s="9"/>
      <c r="Q8" s="9"/>
      <c r="R8" s="9"/>
      <c r="S8" s="9"/>
      <c r="T8" s="9"/>
      <c r="U8" s="9"/>
      <c r="V8" s="9"/>
      <c r="W8" s="9"/>
    </row>
    <row r="9" s="1" customFormat="1" ht="24" customHeight="1" spans="1:23">
      <c r="A9" s="9" t="s">
        <v>28</v>
      </c>
      <c r="B9" s="9" t="s">
        <v>29</v>
      </c>
      <c r="C9" s="9"/>
      <c r="D9" s="9"/>
      <c r="E9" s="9"/>
      <c r="F9" s="9"/>
      <c r="G9" s="9"/>
      <c r="H9" s="12">
        <f t="shared" si="0"/>
        <v>19485625.977854</v>
      </c>
      <c r="I9" s="12">
        <f t="shared" ref="I9:K9" si="2">SUM(I10:I28)</f>
        <v>10002887.699061</v>
      </c>
      <c r="J9" s="12">
        <f t="shared" si="2"/>
        <v>4480910.710438</v>
      </c>
      <c r="K9" s="12">
        <f t="shared" si="2"/>
        <v>5001827.568355</v>
      </c>
      <c r="L9" s="9"/>
      <c r="M9" s="12">
        <f>SUM(M10:M28)</f>
        <v>1.39858</v>
      </c>
      <c r="N9" s="9"/>
      <c r="O9" s="9"/>
      <c r="P9" s="9"/>
      <c r="Q9" s="9"/>
      <c r="R9" s="9"/>
      <c r="S9" s="9"/>
      <c r="T9" s="9"/>
      <c r="U9" s="9"/>
      <c r="V9" s="9"/>
      <c r="W9" s="9"/>
    </row>
    <row r="10" ht="24" hidden="1" customHeight="1" spans="1:23">
      <c r="A10" s="13">
        <v>1</v>
      </c>
      <c r="B10" s="13" t="s">
        <v>84</v>
      </c>
      <c r="C10" s="13" t="s">
        <v>85</v>
      </c>
      <c r="D10" s="13"/>
      <c r="E10" s="13"/>
      <c r="F10" s="13" t="s">
        <v>86</v>
      </c>
      <c r="G10" s="13" t="s">
        <v>87</v>
      </c>
      <c r="H10" s="14">
        <f t="shared" si="0"/>
        <v>263.84</v>
      </c>
      <c r="I10" s="14">
        <v>252</v>
      </c>
      <c r="J10" s="14">
        <v>11.84</v>
      </c>
      <c r="K10" s="1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9" customFormat="1" ht="24" hidden="1" customHeight="1" spans="1:23">
      <c r="A11" s="21">
        <v>2</v>
      </c>
      <c r="B11" s="21" t="s">
        <v>88</v>
      </c>
      <c r="C11" s="21" t="s">
        <v>89</v>
      </c>
      <c r="D11" s="21"/>
      <c r="E11" s="21"/>
      <c r="F11" s="21"/>
      <c r="G11" s="21"/>
      <c r="H11" s="22">
        <f t="shared" ref="H11:H31" si="3">I11+J11+K11</f>
        <v>100</v>
      </c>
      <c r="I11" s="22"/>
      <c r="J11" s="22">
        <v>40</v>
      </c>
      <c r="K11" s="22">
        <v>60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ht="24" hidden="1" customHeight="1" spans="1:23">
      <c r="A12" s="13">
        <v>3</v>
      </c>
      <c r="B12" s="13" t="s">
        <v>90</v>
      </c>
      <c r="C12" s="13" t="s">
        <v>89</v>
      </c>
      <c r="D12" s="13"/>
      <c r="E12" s="13"/>
      <c r="F12" s="13" t="s">
        <v>91</v>
      </c>
      <c r="G12" s="13"/>
      <c r="H12" s="14">
        <f t="shared" si="3"/>
        <v>381.4</v>
      </c>
      <c r="I12" s="14">
        <v>230.14</v>
      </c>
      <c r="J12" s="14">
        <v>151.26</v>
      </c>
      <c r="K12" s="14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ht="24" hidden="1" customHeight="1" spans="1:23">
      <c r="A13" s="13">
        <v>4</v>
      </c>
      <c r="B13" s="13" t="s">
        <v>92</v>
      </c>
      <c r="C13" s="13" t="s">
        <v>89</v>
      </c>
      <c r="D13" s="13"/>
      <c r="E13" s="13"/>
      <c r="F13" s="13" t="s">
        <v>91</v>
      </c>
      <c r="G13" s="13"/>
      <c r="H13" s="14">
        <f t="shared" si="3"/>
        <v>118.6</v>
      </c>
      <c r="I13" s="14">
        <v>69.86</v>
      </c>
      <c r="J13" s="14">
        <v>48.74</v>
      </c>
      <c r="K13" s="14"/>
      <c r="L13" s="13"/>
      <c r="M13" s="103">
        <v>1.39858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ht="39" customHeight="1" spans="1:23">
      <c r="A14" s="13">
        <v>5</v>
      </c>
      <c r="B14" s="13" t="s">
        <v>93</v>
      </c>
      <c r="C14" s="13" t="s">
        <v>94</v>
      </c>
      <c r="D14" s="13"/>
      <c r="E14" s="13"/>
      <c r="F14" s="13" t="s">
        <v>95</v>
      </c>
      <c r="G14" s="13" t="s">
        <v>96</v>
      </c>
      <c r="H14" s="14">
        <f t="shared" si="3"/>
        <v>3000000</v>
      </c>
      <c r="I14" s="14">
        <v>2000000</v>
      </c>
      <c r="J14" s="14">
        <v>1000000</v>
      </c>
      <c r="K14" s="14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ht="49.5" customHeight="1" spans="1:23">
      <c r="A15" s="13">
        <v>6</v>
      </c>
      <c r="B15" s="13" t="s">
        <v>97</v>
      </c>
      <c r="C15" s="13" t="s">
        <v>94</v>
      </c>
      <c r="D15" s="13"/>
      <c r="E15" s="13"/>
      <c r="F15" s="13" t="s">
        <v>98</v>
      </c>
      <c r="G15" s="13" t="s">
        <v>99</v>
      </c>
      <c r="H15" s="14">
        <f t="shared" si="3"/>
        <v>6500000</v>
      </c>
      <c r="I15" s="14"/>
      <c r="J15" s="14">
        <v>1500000</v>
      </c>
      <c r="K15" s="14">
        <v>5000000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ht="37.5" customHeight="1" spans="1:23">
      <c r="A16" s="13">
        <v>7</v>
      </c>
      <c r="B16" s="13" t="s">
        <v>100</v>
      </c>
      <c r="C16" s="13" t="s">
        <v>94</v>
      </c>
      <c r="D16" s="13"/>
      <c r="E16" s="13"/>
      <c r="F16" s="13" t="s">
        <v>101</v>
      </c>
      <c r="G16" s="13" t="s">
        <v>102</v>
      </c>
      <c r="H16" s="14">
        <f t="shared" si="3"/>
        <v>6879488</v>
      </c>
      <c r="I16" s="14">
        <v>6000000</v>
      </c>
      <c r="J16" s="14">
        <v>879488</v>
      </c>
      <c r="K16" s="14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ht="24" customHeight="1" spans="1:23">
      <c r="A17" s="13">
        <v>8</v>
      </c>
      <c r="B17" s="13" t="s">
        <v>103</v>
      </c>
      <c r="C17" s="13" t="s">
        <v>94</v>
      </c>
      <c r="D17" s="13"/>
      <c r="E17" s="13"/>
      <c r="F17" s="13" t="s">
        <v>101</v>
      </c>
      <c r="G17" s="13" t="s">
        <v>104</v>
      </c>
      <c r="H17" s="14">
        <f t="shared" si="3"/>
        <v>3100000</v>
      </c>
      <c r="I17" s="14">
        <v>2000000</v>
      </c>
      <c r="J17" s="14">
        <v>1100000</v>
      </c>
      <c r="K17" s="14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ht="24" hidden="1" customHeight="1" spans="1:23">
      <c r="A18" s="13">
        <v>9</v>
      </c>
      <c r="B18" s="13" t="s">
        <v>105</v>
      </c>
      <c r="C18" s="13" t="s">
        <v>106</v>
      </c>
      <c r="D18" s="13"/>
      <c r="E18" s="13"/>
      <c r="F18" s="13" t="s">
        <v>98</v>
      </c>
      <c r="G18" s="13" t="s">
        <v>107</v>
      </c>
      <c r="H18" s="14">
        <f t="shared" si="3"/>
        <v>1150</v>
      </c>
      <c r="I18" s="14"/>
      <c r="J18" s="14">
        <v>340</v>
      </c>
      <c r="K18" s="14">
        <v>810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ht="24" hidden="1" customHeight="1" spans="1:23">
      <c r="A19" s="13">
        <v>10</v>
      </c>
      <c r="B19" s="13" t="s">
        <v>108</v>
      </c>
      <c r="C19" s="13" t="s">
        <v>106</v>
      </c>
      <c r="D19" s="13"/>
      <c r="E19" s="13"/>
      <c r="F19" s="13" t="s">
        <v>109</v>
      </c>
      <c r="G19" s="13" t="s">
        <v>110</v>
      </c>
      <c r="H19" s="14">
        <f t="shared" si="3"/>
        <v>29.4</v>
      </c>
      <c r="I19" s="14"/>
      <c r="J19" s="14">
        <v>29.4</v>
      </c>
      <c r="K19" s="14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ht="24" hidden="1" customHeight="1" spans="1:23">
      <c r="A20" s="13">
        <v>11</v>
      </c>
      <c r="B20" s="13" t="s">
        <v>111</v>
      </c>
      <c r="C20" s="13" t="s">
        <v>106</v>
      </c>
      <c r="D20" s="13"/>
      <c r="E20" s="13"/>
      <c r="F20" s="13" t="s">
        <v>109</v>
      </c>
      <c r="G20" s="13" t="s">
        <v>112</v>
      </c>
      <c r="H20" s="14">
        <f t="shared" si="3"/>
        <v>650</v>
      </c>
      <c r="I20" s="14">
        <v>475</v>
      </c>
      <c r="J20" s="14">
        <v>175</v>
      </c>
      <c r="K20" s="14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ht="40.5" hidden="1" customHeight="1" spans="1:23">
      <c r="A21" s="13">
        <v>12</v>
      </c>
      <c r="B21" s="13" t="s">
        <v>113</v>
      </c>
      <c r="C21" s="13" t="s">
        <v>106</v>
      </c>
      <c r="D21" s="13"/>
      <c r="E21" s="13"/>
      <c r="F21" s="13" t="s">
        <v>114</v>
      </c>
      <c r="G21" s="13" t="s">
        <v>115</v>
      </c>
      <c r="H21" s="14">
        <f t="shared" si="3"/>
        <v>84.959336</v>
      </c>
      <c r="I21" s="14">
        <v>78.497771</v>
      </c>
      <c r="J21" s="14"/>
      <c r="K21" s="14">
        <v>6.461565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ht="24" hidden="1" customHeight="1" spans="1:23">
      <c r="A22" s="13">
        <v>13</v>
      </c>
      <c r="B22" s="13" t="s">
        <v>116</v>
      </c>
      <c r="C22" s="13" t="s">
        <v>117</v>
      </c>
      <c r="D22" s="13"/>
      <c r="E22" s="13"/>
      <c r="F22" s="13" t="s">
        <v>118</v>
      </c>
      <c r="G22" s="13" t="s">
        <v>119</v>
      </c>
      <c r="H22" s="14">
        <f t="shared" si="3"/>
        <v>802</v>
      </c>
      <c r="I22" s="14">
        <v>342</v>
      </c>
      <c r="J22" s="14">
        <v>238.5</v>
      </c>
      <c r="K22" s="14">
        <v>221.5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ht="24" hidden="1" customHeight="1" spans="1:23">
      <c r="A23" s="13">
        <v>14</v>
      </c>
      <c r="B23" s="13" t="s">
        <v>120</v>
      </c>
      <c r="C23" s="13" t="s">
        <v>117</v>
      </c>
      <c r="D23" s="13"/>
      <c r="E23" s="13"/>
      <c r="F23" s="13" t="s">
        <v>121</v>
      </c>
      <c r="G23" s="13" t="s">
        <v>122</v>
      </c>
      <c r="H23" s="14">
        <f t="shared" si="3"/>
        <v>1991.431518</v>
      </c>
      <c r="I23" s="14">
        <v>955.85429</v>
      </c>
      <c r="J23" s="14">
        <v>305.970438</v>
      </c>
      <c r="K23" s="14">
        <v>729.60679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ht="24" hidden="1" customHeight="1" spans="1:23">
      <c r="A24" s="13">
        <v>15</v>
      </c>
      <c r="B24" s="13" t="s">
        <v>123</v>
      </c>
      <c r="C24" s="13" t="s">
        <v>117</v>
      </c>
      <c r="D24" s="13"/>
      <c r="E24" s="13"/>
      <c r="F24" s="13" t="s">
        <v>124</v>
      </c>
      <c r="G24" s="13" t="s">
        <v>125</v>
      </c>
      <c r="H24" s="14">
        <f t="shared" si="3"/>
        <v>400</v>
      </c>
      <c r="I24" s="14">
        <v>400</v>
      </c>
      <c r="J24" s="14">
        <v>0</v>
      </c>
      <c r="K24" s="14">
        <v>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ht="24" hidden="1" customHeight="1" spans="1:23">
      <c r="A25" s="13">
        <v>16</v>
      </c>
      <c r="B25" s="13" t="s">
        <v>126</v>
      </c>
      <c r="C25" s="13" t="s">
        <v>117</v>
      </c>
      <c r="D25" s="13"/>
      <c r="E25" s="13"/>
      <c r="F25" s="13" t="s">
        <v>109</v>
      </c>
      <c r="G25" s="13" t="s">
        <v>127</v>
      </c>
      <c r="H25" s="14">
        <f t="shared" si="3"/>
        <v>60</v>
      </c>
      <c r="I25" s="14">
        <v>0</v>
      </c>
      <c r="J25" s="14">
        <v>60</v>
      </c>
      <c r="K25" s="14">
        <v>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ht="24" hidden="1" customHeight="1" spans="1:23">
      <c r="A26" s="13">
        <v>17</v>
      </c>
      <c r="B26" s="13" t="s">
        <v>128</v>
      </c>
      <c r="C26" s="13" t="s">
        <v>117</v>
      </c>
      <c r="D26" s="13"/>
      <c r="E26" s="13"/>
      <c r="F26" s="13" t="s">
        <v>109</v>
      </c>
      <c r="G26" s="13" t="s">
        <v>127</v>
      </c>
      <c r="H26" s="14">
        <f t="shared" si="3"/>
        <v>22</v>
      </c>
      <c r="I26" s="14">
        <v>0</v>
      </c>
      <c r="J26" s="14">
        <v>22</v>
      </c>
      <c r="K26" s="14">
        <v>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ht="24" hidden="1" customHeight="1" spans="1:23">
      <c r="A27" s="13">
        <v>18</v>
      </c>
      <c r="B27" s="13" t="s">
        <v>129</v>
      </c>
      <c r="C27" s="13" t="s">
        <v>117</v>
      </c>
      <c r="D27" s="13"/>
      <c r="E27" s="13"/>
      <c r="F27" s="13" t="s">
        <v>130</v>
      </c>
      <c r="G27" s="13" t="s">
        <v>131</v>
      </c>
      <c r="H27" s="14">
        <f t="shared" si="3"/>
        <v>80.4</v>
      </c>
      <c r="I27" s="14">
        <v>80.4</v>
      </c>
      <c r="J27" s="14">
        <v>0</v>
      </c>
      <c r="K27" s="14">
        <v>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ht="24" hidden="1" customHeight="1" spans="1:23">
      <c r="A28" s="13">
        <v>19</v>
      </c>
      <c r="B28" s="13" t="s">
        <v>132</v>
      </c>
      <c r="C28" s="13" t="s">
        <v>117</v>
      </c>
      <c r="D28" s="13"/>
      <c r="E28" s="13"/>
      <c r="F28" s="13" t="s">
        <v>130</v>
      </c>
      <c r="G28" s="13" t="s">
        <v>133</v>
      </c>
      <c r="H28" s="14">
        <f t="shared" si="3"/>
        <v>3.947</v>
      </c>
      <c r="I28" s="14">
        <v>3.947</v>
      </c>
      <c r="J28" s="14"/>
      <c r="K28" s="14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="1" customFormat="1" ht="24" hidden="1" customHeight="1" spans="1:23">
      <c r="A29" s="9" t="s">
        <v>31</v>
      </c>
      <c r="B29" s="9" t="s">
        <v>32</v>
      </c>
      <c r="C29" s="9"/>
      <c r="D29" s="9"/>
      <c r="E29" s="9"/>
      <c r="F29" s="9"/>
      <c r="G29" s="9"/>
      <c r="H29" s="12">
        <f t="shared" si="3"/>
        <v>1520933.8432</v>
      </c>
      <c r="I29" s="12">
        <f>SUM(I30:I34)</f>
        <v>191.346509</v>
      </c>
      <c r="J29" s="12">
        <f t="shared" ref="J29:K29" si="4">SUM(J30:J34)</f>
        <v>1520701</v>
      </c>
      <c r="K29" s="12">
        <f t="shared" si="4"/>
        <v>41.496691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ht="24" hidden="1" customHeight="1" spans="1:23">
      <c r="A30" s="13">
        <v>1</v>
      </c>
      <c r="B30" s="13" t="s">
        <v>134</v>
      </c>
      <c r="C30" s="13" t="s">
        <v>85</v>
      </c>
      <c r="D30" s="13"/>
      <c r="E30" s="13"/>
      <c r="F30" s="13" t="s">
        <v>109</v>
      </c>
      <c r="G30" s="13" t="s">
        <v>135</v>
      </c>
      <c r="H30" s="14">
        <f t="shared" si="3"/>
        <v>51</v>
      </c>
      <c r="I30" s="14"/>
      <c r="J30" s="14">
        <v>51</v>
      </c>
      <c r="K30" s="14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ht="32.25" customHeight="1" spans="1:23">
      <c r="A31" s="13">
        <v>2</v>
      </c>
      <c r="B31" s="13" t="s">
        <v>136</v>
      </c>
      <c r="C31" s="13" t="s">
        <v>94</v>
      </c>
      <c r="D31" s="13"/>
      <c r="E31" s="13"/>
      <c r="F31" s="13" t="s">
        <v>109</v>
      </c>
      <c r="G31" s="13" t="s">
        <v>137</v>
      </c>
      <c r="H31" s="14">
        <f t="shared" si="3"/>
        <v>1520512</v>
      </c>
      <c r="I31" s="14"/>
      <c r="J31" s="14">
        <v>1520512</v>
      </c>
      <c r="K31" s="14"/>
      <c r="L31" s="104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ht="24" hidden="1" customHeight="1" spans="1:23">
      <c r="A32" s="13">
        <v>3</v>
      </c>
      <c r="B32" s="13" t="s">
        <v>138</v>
      </c>
      <c r="C32" s="13" t="s">
        <v>117</v>
      </c>
      <c r="D32" s="13"/>
      <c r="E32" s="13"/>
      <c r="F32" s="13" t="s">
        <v>98</v>
      </c>
      <c r="G32" s="13" t="s">
        <v>139</v>
      </c>
      <c r="H32" s="14">
        <f t="shared" ref="H32:H34" si="5">I32+J32+K32</f>
        <v>27.32</v>
      </c>
      <c r="I32" s="14"/>
      <c r="J32" s="14"/>
      <c r="K32" s="14">
        <v>27.32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ht="24" hidden="1" customHeight="1" spans="1:23">
      <c r="A33" s="13">
        <v>4</v>
      </c>
      <c r="B33" s="13" t="s">
        <v>140</v>
      </c>
      <c r="C33" s="13" t="s">
        <v>117</v>
      </c>
      <c r="D33" s="13"/>
      <c r="E33" s="13"/>
      <c r="F33" s="13" t="s">
        <v>141</v>
      </c>
      <c r="G33" s="13" t="s">
        <v>133</v>
      </c>
      <c r="H33" s="14">
        <f t="shared" si="5"/>
        <v>148.79</v>
      </c>
      <c r="I33" s="14">
        <v>134.613309</v>
      </c>
      <c r="J33" s="14">
        <v>0</v>
      </c>
      <c r="K33" s="14">
        <v>14.176691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ht="24" hidden="1" customHeight="1" spans="1:23">
      <c r="A34" s="13">
        <v>5</v>
      </c>
      <c r="B34" s="13" t="s">
        <v>142</v>
      </c>
      <c r="C34" s="13" t="s">
        <v>117</v>
      </c>
      <c r="D34" s="13"/>
      <c r="E34" s="13"/>
      <c r="F34" s="13" t="s">
        <v>143</v>
      </c>
      <c r="G34" s="13" t="s">
        <v>144</v>
      </c>
      <c r="H34" s="14">
        <f t="shared" si="5"/>
        <v>194.7332</v>
      </c>
      <c r="I34" s="14">
        <v>56.7332</v>
      </c>
      <c r="J34" s="14">
        <v>138</v>
      </c>
      <c r="K34" s="14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ht="24" hidden="1" customHeight="1" spans="1:23">
      <c r="A35" s="13" t="s">
        <v>33</v>
      </c>
      <c r="B35" s="13" t="s">
        <v>34</v>
      </c>
      <c r="C35" s="13"/>
      <c r="D35" s="13"/>
      <c r="E35" s="13"/>
      <c r="F35" s="13"/>
      <c r="G35" s="13"/>
      <c r="H35" s="14"/>
      <c r="I35" s="14"/>
      <c r="J35" s="14"/>
      <c r="K35" s="14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ht="24" hidden="1" customHeight="1" spans="1:23">
      <c r="A36" s="13">
        <v>1</v>
      </c>
      <c r="B36" s="13"/>
      <c r="C36" s="13"/>
      <c r="D36" s="13"/>
      <c r="E36" s="13"/>
      <c r="F36" s="13"/>
      <c r="G36" s="13"/>
      <c r="H36" s="14"/>
      <c r="I36" s="14"/>
      <c r="J36" s="14"/>
      <c r="K36" s="14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ht="24" hidden="1" customHeight="1" spans="1:23">
      <c r="A37" s="13" t="s">
        <v>30</v>
      </c>
      <c r="B37" s="13"/>
      <c r="C37" s="13"/>
      <c r="D37" s="13"/>
      <c r="E37" s="13"/>
      <c r="F37" s="13"/>
      <c r="G37" s="13"/>
      <c r="H37" s="14"/>
      <c r="I37" s="14"/>
      <c r="J37" s="14"/>
      <c r="K37" s="14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ht="24" hidden="1" customHeight="1" spans="1:23">
      <c r="A38" s="13" t="s">
        <v>35</v>
      </c>
      <c r="B38" s="13" t="s">
        <v>36</v>
      </c>
      <c r="C38" s="13"/>
      <c r="D38" s="13"/>
      <c r="E38" s="13"/>
      <c r="F38" s="13"/>
      <c r="G38" s="13"/>
      <c r="H38" s="14"/>
      <c r="I38" s="14"/>
      <c r="J38" s="14"/>
      <c r="K38" s="14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ht="24" hidden="1" customHeight="1" spans="1:23">
      <c r="A39" s="13">
        <v>1</v>
      </c>
      <c r="B39" s="13"/>
      <c r="C39" s="13"/>
      <c r="D39" s="13"/>
      <c r="E39" s="13"/>
      <c r="F39" s="13"/>
      <c r="G39" s="13"/>
      <c r="H39" s="14"/>
      <c r="I39" s="14"/>
      <c r="J39" s="14"/>
      <c r="K39" s="14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ht="24" hidden="1" customHeight="1" spans="1:23">
      <c r="A40" s="13" t="s">
        <v>30</v>
      </c>
      <c r="B40" s="13"/>
      <c r="C40" s="13"/>
      <c r="D40" s="13"/>
      <c r="E40" s="13"/>
      <c r="F40" s="13"/>
      <c r="G40" s="13"/>
      <c r="H40" s="14"/>
      <c r="I40" s="14"/>
      <c r="J40" s="14"/>
      <c r="K40" s="14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ht="24" hidden="1" customHeight="1" spans="1:23">
      <c r="A41" s="13" t="s">
        <v>37</v>
      </c>
      <c r="B41" s="13" t="s">
        <v>38</v>
      </c>
      <c r="C41" s="13"/>
      <c r="D41" s="13"/>
      <c r="E41" s="13"/>
      <c r="F41" s="13"/>
      <c r="G41" s="13"/>
      <c r="H41" s="14"/>
      <c r="I41" s="14"/>
      <c r="J41" s="14"/>
      <c r="K41" s="14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ht="24" hidden="1" customHeight="1" spans="1:23">
      <c r="A42" s="13">
        <v>1</v>
      </c>
      <c r="B42" s="13"/>
      <c r="C42" s="13"/>
      <c r="D42" s="13"/>
      <c r="E42" s="13"/>
      <c r="F42" s="13"/>
      <c r="G42" s="13"/>
      <c r="H42" s="14"/>
      <c r="I42" s="14"/>
      <c r="J42" s="14"/>
      <c r="K42" s="14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ht="24" hidden="1" customHeight="1" spans="1:23">
      <c r="A43" s="13" t="s">
        <v>30</v>
      </c>
      <c r="B43" s="13"/>
      <c r="C43" s="13"/>
      <c r="D43" s="13"/>
      <c r="E43" s="13"/>
      <c r="F43" s="13"/>
      <c r="G43" s="13"/>
      <c r="H43" s="14"/>
      <c r="I43" s="14"/>
      <c r="J43" s="14"/>
      <c r="K43" s="14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ht="24" hidden="1" customHeight="1" spans="1:23">
      <c r="A44" s="13" t="s">
        <v>39</v>
      </c>
      <c r="B44" s="13" t="s">
        <v>40</v>
      </c>
      <c r="C44" s="13"/>
      <c r="D44" s="13"/>
      <c r="E44" s="13"/>
      <c r="F44" s="13"/>
      <c r="G44" s="13"/>
      <c r="H44" s="14"/>
      <c r="I44" s="14"/>
      <c r="J44" s="14"/>
      <c r="K44" s="14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ht="24" hidden="1" customHeight="1" spans="1:23">
      <c r="A45" s="13">
        <v>1</v>
      </c>
      <c r="B45" s="13"/>
      <c r="C45" s="13"/>
      <c r="D45" s="13"/>
      <c r="E45" s="13"/>
      <c r="F45" s="13"/>
      <c r="G45" s="13"/>
      <c r="H45" s="14"/>
      <c r="I45" s="14"/>
      <c r="J45" s="14"/>
      <c r="K45" s="14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ht="24" hidden="1" customHeight="1" spans="1:23">
      <c r="A46" s="13" t="s">
        <v>30</v>
      </c>
      <c r="B46" s="13"/>
      <c r="C46" s="13"/>
      <c r="D46" s="13"/>
      <c r="E46" s="13"/>
      <c r="F46" s="13"/>
      <c r="G46" s="13"/>
      <c r="H46" s="14"/>
      <c r="I46" s="14"/>
      <c r="J46" s="14"/>
      <c r="K46" s="14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ht="24" hidden="1" customHeight="1" spans="1:23">
      <c r="A47" s="13" t="s">
        <v>41</v>
      </c>
      <c r="B47" s="13" t="s">
        <v>42</v>
      </c>
      <c r="C47" s="13"/>
      <c r="D47" s="13"/>
      <c r="E47" s="13"/>
      <c r="F47" s="13"/>
      <c r="G47" s="13"/>
      <c r="H47" s="14"/>
      <c r="I47" s="14"/>
      <c r="J47" s="14"/>
      <c r="K47" s="14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ht="24" hidden="1" customHeight="1" spans="1:23">
      <c r="A48" s="13">
        <v>1</v>
      </c>
      <c r="B48" s="13"/>
      <c r="C48" s="13"/>
      <c r="D48" s="13"/>
      <c r="E48" s="13"/>
      <c r="F48" s="13"/>
      <c r="G48" s="13"/>
      <c r="H48" s="14"/>
      <c r="I48" s="14"/>
      <c r="J48" s="14"/>
      <c r="K48" s="14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ht="24" hidden="1" customHeight="1" spans="1:23">
      <c r="A49" s="13" t="s">
        <v>30</v>
      </c>
      <c r="B49" s="13"/>
      <c r="C49" s="13"/>
      <c r="D49" s="13"/>
      <c r="E49" s="13"/>
      <c r="F49" s="13"/>
      <c r="G49" s="13"/>
      <c r="H49" s="14"/>
      <c r="I49" s="14"/>
      <c r="J49" s="14"/>
      <c r="K49" s="14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ht="24" hidden="1" customHeight="1" spans="1:23">
      <c r="A50" s="13" t="s">
        <v>43</v>
      </c>
      <c r="B50" s="13" t="s">
        <v>44</v>
      </c>
      <c r="C50" s="13"/>
      <c r="D50" s="13"/>
      <c r="E50" s="13"/>
      <c r="F50" s="13"/>
      <c r="G50" s="13"/>
      <c r="H50" s="14"/>
      <c r="I50" s="14"/>
      <c r="J50" s="14"/>
      <c r="K50" s="14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ht="24" hidden="1" customHeight="1" spans="1:23">
      <c r="A51" s="13">
        <v>1</v>
      </c>
      <c r="B51" s="13"/>
      <c r="C51" s="13"/>
      <c r="D51" s="13"/>
      <c r="E51" s="13"/>
      <c r="F51" s="13"/>
      <c r="G51" s="13"/>
      <c r="H51" s="14"/>
      <c r="I51" s="14"/>
      <c r="J51" s="14"/>
      <c r="K51" s="14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ht="24" hidden="1" customHeight="1" spans="1:23">
      <c r="A52" s="13" t="s">
        <v>30</v>
      </c>
      <c r="B52" s="13"/>
      <c r="C52" s="13"/>
      <c r="D52" s="13"/>
      <c r="E52" s="13"/>
      <c r="F52" s="13"/>
      <c r="G52" s="13"/>
      <c r="H52" s="14"/>
      <c r="I52" s="14"/>
      <c r="J52" s="14"/>
      <c r="K52" s="14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ht="24" hidden="1" customHeight="1" spans="1:23">
      <c r="A53" s="13" t="s">
        <v>45</v>
      </c>
      <c r="B53" s="13" t="s">
        <v>46</v>
      </c>
      <c r="C53" s="13"/>
      <c r="D53" s="13"/>
      <c r="E53" s="13"/>
      <c r="F53" s="13"/>
      <c r="G53" s="13"/>
      <c r="H53" s="14"/>
      <c r="I53" s="14"/>
      <c r="J53" s="14"/>
      <c r="K53" s="14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ht="24" hidden="1" customHeight="1" spans="1:23">
      <c r="A54" s="13">
        <v>1</v>
      </c>
      <c r="B54" s="13"/>
      <c r="C54" s="13"/>
      <c r="D54" s="13"/>
      <c r="E54" s="13"/>
      <c r="F54" s="13"/>
      <c r="G54" s="13"/>
      <c r="H54" s="14"/>
      <c r="I54" s="14"/>
      <c r="J54" s="14"/>
      <c r="K54" s="14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ht="24" hidden="1" customHeight="1" spans="1:23">
      <c r="A55" s="13" t="s">
        <v>30</v>
      </c>
      <c r="B55" s="13"/>
      <c r="C55" s="13"/>
      <c r="D55" s="13"/>
      <c r="E55" s="13"/>
      <c r="F55" s="13"/>
      <c r="G55" s="13"/>
      <c r="H55" s="14"/>
      <c r="I55" s="14"/>
      <c r="J55" s="14"/>
      <c r="K55" s="14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ht="24" hidden="1" customHeight="1" spans="1:23">
      <c r="A56" s="13" t="s">
        <v>47</v>
      </c>
      <c r="B56" s="13" t="s">
        <v>48</v>
      </c>
      <c r="C56" s="13"/>
      <c r="D56" s="13"/>
      <c r="E56" s="13"/>
      <c r="F56" s="13"/>
      <c r="G56" s="13"/>
      <c r="H56" s="14"/>
      <c r="I56" s="14"/>
      <c r="J56" s="14"/>
      <c r="K56" s="14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ht="24" hidden="1" customHeight="1" spans="1:23">
      <c r="A57" s="13">
        <v>1</v>
      </c>
      <c r="B57" s="13"/>
      <c r="C57" s="13"/>
      <c r="D57" s="13"/>
      <c r="E57" s="13"/>
      <c r="F57" s="13"/>
      <c r="G57" s="13"/>
      <c r="H57" s="14"/>
      <c r="I57" s="14"/>
      <c r="J57" s="14"/>
      <c r="K57" s="14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ht="24" hidden="1" customHeight="1" spans="1:23">
      <c r="A58" s="13" t="s">
        <v>30</v>
      </c>
      <c r="B58" s="13"/>
      <c r="C58" s="13"/>
      <c r="D58" s="13"/>
      <c r="E58" s="13"/>
      <c r="F58" s="13"/>
      <c r="G58" s="13"/>
      <c r="H58" s="14"/>
      <c r="I58" s="14"/>
      <c r="J58" s="14"/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="1" customFormat="1" ht="24" hidden="1" customHeight="1" spans="1:23">
      <c r="A59" s="9" t="s">
        <v>49</v>
      </c>
      <c r="B59" s="9" t="s">
        <v>50</v>
      </c>
      <c r="C59" s="9"/>
      <c r="D59" s="9"/>
      <c r="E59" s="9"/>
      <c r="F59" s="9"/>
      <c r="G59" s="9"/>
      <c r="H59" s="12">
        <f>I59+J59+K59</f>
        <v>8502371.178946</v>
      </c>
      <c r="I59" s="12">
        <f t="shared" ref="I59:K59" si="6">SUM(I60:I90)</f>
        <v>2001154.95443</v>
      </c>
      <c r="J59" s="12">
        <f t="shared" si="6"/>
        <v>1500485.289562</v>
      </c>
      <c r="K59" s="12">
        <f t="shared" si="6"/>
        <v>5000730.934954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ht="24" hidden="1" customHeight="1" spans="1:23">
      <c r="A60" s="13">
        <v>1</v>
      </c>
      <c r="B60" s="13" t="s">
        <v>145</v>
      </c>
      <c r="C60" s="13" t="s">
        <v>85</v>
      </c>
      <c r="D60" s="13"/>
      <c r="E60" s="13"/>
      <c r="F60" s="13" t="s">
        <v>109</v>
      </c>
      <c r="G60" s="13" t="s">
        <v>135</v>
      </c>
      <c r="H60" s="14">
        <f t="shared" ref="H60:H90" si="7">I60+J60+K60</f>
        <v>82.29</v>
      </c>
      <c r="I60" s="14"/>
      <c r="J60" s="14">
        <v>82.29</v>
      </c>
      <c r="K60" s="14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ht="24" hidden="1" customHeight="1" spans="1:23">
      <c r="A61" s="13">
        <v>2</v>
      </c>
      <c r="B61" s="13" t="s">
        <v>146</v>
      </c>
      <c r="C61" s="13" t="s">
        <v>85</v>
      </c>
      <c r="D61" s="13"/>
      <c r="E61" s="13"/>
      <c r="F61" s="13" t="s">
        <v>109</v>
      </c>
      <c r="G61" s="13" t="s">
        <v>135</v>
      </c>
      <c r="H61" s="14">
        <f t="shared" si="7"/>
        <v>14.87</v>
      </c>
      <c r="I61" s="14"/>
      <c r="J61" s="14">
        <v>14.87</v>
      </c>
      <c r="K61" s="14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ht="24" customHeight="1" spans="1:23">
      <c r="A62" s="13">
        <v>3</v>
      </c>
      <c r="B62" s="13" t="s">
        <v>147</v>
      </c>
      <c r="C62" s="13" t="s">
        <v>94</v>
      </c>
      <c r="D62" s="13"/>
      <c r="E62" s="13"/>
      <c r="F62" s="13" t="s">
        <v>114</v>
      </c>
      <c r="G62" s="13" t="s">
        <v>148</v>
      </c>
      <c r="H62" s="14">
        <f t="shared" si="7"/>
        <v>2000000</v>
      </c>
      <c r="I62" s="14">
        <v>2000000</v>
      </c>
      <c r="J62" s="14"/>
      <c r="K62" s="14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ht="24" customHeight="1" spans="1:23">
      <c r="A63" s="13">
        <v>4</v>
      </c>
      <c r="B63" s="13" t="s">
        <v>149</v>
      </c>
      <c r="C63" s="13" t="s">
        <v>94</v>
      </c>
      <c r="D63" s="13"/>
      <c r="E63" s="13"/>
      <c r="F63" s="13" t="s">
        <v>98</v>
      </c>
      <c r="G63" s="13" t="s">
        <v>99</v>
      </c>
      <c r="H63" s="14">
        <f t="shared" si="7"/>
        <v>700000</v>
      </c>
      <c r="I63" s="14"/>
      <c r="J63" s="14"/>
      <c r="K63" s="14">
        <v>700000</v>
      </c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ht="24" customHeight="1" spans="1:23">
      <c r="A64" s="13">
        <v>5</v>
      </c>
      <c r="B64" s="13" t="s">
        <v>150</v>
      </c>
      <c r="C64" s="13" t="s">
        <v>94</v>
      </c>
      <c r="D64" s="13"/>
      <c r="E64" s="13"/>
      <c r="F64" s="13" t="s">
        <v>98</v>
      </c>
      <c r="G64" s="13" t="s">
        <v>99</v>
      </c>
      <c r="H64" s="14">
        <f t="shared" si="7"/>
        <v>1500000</v>
      </c>
      <c r="I64" s="14"/>
      <c r="J64" s="14"/>
      <c r="K64" s="14">
        <v>1500000</v>
      </c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ht="24" customHeight="1" spans="1:23">
      <c r="A65" s="13">
        <v>6</v>
      </c>
      <c r="B65" s="13" t="s">
        <v>151</v>
      </c>
      <c r="C65" s="13" t="s">
        <v>94</v>
      </c>
      <c r="D65" s="13"/>
      <c r="E65" s="13"/>
      <c r="F65" s="13" t="s">
        <v>98</v>
      </c>
      <c r="G65" s="13" t="s">
        <v>99</v>
      </c>
      <c r="H65" s="14">
        <f t="shared" si="7"/>
        <v>700000</v>
      </c>
      <c r="I65" s="14"/>
      <c r="J65" s="14"/>
      <c r="K65" s="14">
        <v>700000</v>
      </c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ht="24" customHeight="1" spans="1:23">
      <c r="A66" s="13">
        <v>7</v>
      </c>
      <c r="B66" s="13" t="s">
        <v>152</v>
      </c>
      <c r="C66" s="13" t="s">
        <v>94</v>
      </c>
      <c r="D66" s="13"/>
      <c r="E66" s="13"/>
      <c r="F66" s="13" t="s">
        <v>98</v>
      </c>
      <c r="G66" s="13" t="s">
        <v>99</v>
      </c>
      <c r="H66" s="14">
        <f t="shared" si="7"/>
        <v>1600000</v>
      </c>
      <c r="I66" s="14"/>
      <c r="J66" s="14">
        <v>1500000</v>
      </c>
      <c r="K66" s="14">
        <v>100000</v>
      </c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ht="24" customHeight="1" spans="1:23">
      <c r="A67" s="13">
        <v>8</v>
      </c>
      <c r="B67" s="13" t="s">
        <v>153</v>
      </c>
      <c r="C67" s="13" t="s">
        <v>94</v>
      </c>
      <c r="D67" s="13"/>
      <c r="E67" s="13"/>
      <c r="F67" s="13" t="s">
        <v>98</v>
      </c>
      <c r="G67" s="13" t="s">
        <v>99</v>
      </c>
      <c r="H67" s="14">
        <f t="shared" si="7"/>
        <v>1500000</v>
      </c>
      <c r="I67" s="14"/>
      <c r="J67" s="14"/>
      <c r="K67" s="14">
        <v>1500000</v>
      </c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ht="24" customHeight="1" spans="1:23">
      <c r="A68" s="13">
        <v>9</v>
      </c>
      <c r="B68" s="13" t="s">
        <v>154</v>
      </c>
      <c r="C68" s="13" t="s">
        <v>94</v>
      </c>
      <c r="D68" s="13"/>
      <c r="E68" s="13"/>
      <c r="F68" s="13" t="s">
        <v>98</v>
      </c>
      <c r="G68" s="13" t="s">
        <v>99</v>
      </c>
      <c r="H68" s="14">
        <f t="shared" si="7"/>
        <v>500000</v>
      </c>
      <c r="I68" s="14"/>
      <c r="J68" s="14"/>
      <c r="K68" s="14">
        <v>500000</v>
      </c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ht="24" hidden="1" customHeight="1" spans="1:23">
      <c r="A69" s="13">
        <v>10</v>
      </c>
      <c r="B69" s="13" t="s">
        <v>155</v>
      </c>
      <c r="C69" s="13" t="s">
        <v>106</v>
      </c>
      <c r="D69" s="13"/>
      <c r="E69" s="13"/>
      <c r="F69" s="13" t="s">
        <v>114</v>
      </c>
      <c r="G69" s="13" t="s">
        <v>156</v>
      </c>
      <c r="H69" s="14">
        <f t="shared" si="7"/>
        <v>104.818793</v>
      </c>
      <c r="I69" s="14">
        <v>100</v>
      </c>
      <c r="J69" s="14"/>
      <c r="K69" s="14">
        <v>4.818793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ht="24" hidden="1" customHeight="1" spans="1:23">
      <c r="A70" s="13">
        <v>11</v>
      </c>
      <c r="B70" s="13" t="s">
        <v>157</v>
      </c>
      <c r="C70" s="13" t="s">
        <v>106</v>
      </c>
      <c r="D70" s="13"/>
      <c r="E70" s="13"/>
      <c r="F70" s="13" t="s">
        <v>98</v>
      </c>
      <c r="G70" s="13" t="s">
        <v>158</v>
      </c>
      <c r="H70" s="14">
        <f t="shared" si="7"/>
        <v>35.51727</v>
      </c>
      <c r="I70" s="14"/>
      <c r="J70" s="14"/>
      <c r="K70" s="14">
        <v>35.51727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ht="24" hidden="1" customHeight="1" spans="1:23">
      <c r="A71" s="13">
        <v>12</v>
      </c>
      <c r="B71" s="13" t="s">
        <v>159</v>
      </c>
      <c r="C71" s="13" t="s">
        <v>106</v>
      </c>
      <c r="D71" s="13"/>
      <c r="E71" s="13"/>
      <c r="F71" s="13" t="s">
        <v>98</v>
      </c>
      <c r="G71" s="13" t="s">
        <v>158</v>
      </c>
      <c r="H71" s="14">
        <f t="shared" si="7"/>
        <v>281.394875</v>
      </c>
      <c r="I71" s="14"/>
      <c r="J71" s="14">
        <v>60</v>
      </c>
      <c r="K71" s="14">
        <v>221.394875</v>
      </c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ht="28.5" hidden="1" customHeight="1" spans="1:23">
      <c r="A72" s="13">
        <v>13</v>
      </c>
      <c r="B72" s="13" t="s">
        <v>160</v>
      </c>
      <c r="C72" s="13" t="s">
        <v>106</v>
      </c>
      <c r="D72" s="13"/>
      <c r="E72" s="13"/>
      <c r="F72" s="13" t="s">
        <v>109</v>
      </c>
      <c r="G72" s="13" t="s">
        <v>161</v>
      </c>
      <c r="H72" s="14">
        <f t="shared" si="7"/>
        <v>411.971004</v>
      </c>
      <c r="I72" s="14">
        <v>300.000028</v>
      </c>
      <c r="J72" s="14">
        <v>95</v>
      </c>
      <c r="K72" s="14">
        <v>16.970976</v>
      </c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ht="24" hidden="1" customHeight="1" spans="1:23">
      <c r="A73" s="13">
        <v>14</v>
      </c>
      <c r="B73" s="13" t="s">
        <v>162</v>
      </c>
      <c r="C73" s="13" t="s">
        <v>106</v>
      </c>
      <c r="D73" s="13"/>
      <c r="E73" s="13"/>
      <c r="F73" s="13" t="s">
        <v>109</v>
      </c>
      <c r="G73" s="13" t="s">
        <v>163</v>
      </c>
      <c r="H73" s="14">
        <f t="shared" si="7"/>
        <v>25.407345</v>
      </c>
      <c r="I73" s="14"/>
      <c r="J73" s="14">
        <v>25</v>
      </c>
      <c r="K73" s="14">
        <v>0.407345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ht="24" hidden="1" customHeight="1" spans="1:23">
      <c r="A74" s="13">
        <v>15</v>
      </c>
      <c r="B74" s="13" t="s">
        <v>164</v>
      </c>
      <c r="C74" s="13" t="s">
        <v>106</v>
      </c>
      <c r="D74" s="13"/>
      <c r="E74" s="13"/>
      <c r="F74" s="13" t="s">
        <v>109</v>
      </c>
      <c r="G74" s="13" t="s">
        <v>163</v>
      </c>
      <c r="H74" s="14">
        <f t="shared" si="7"/>
        <v>30.029176</v>
      </c>
      <c r="I74" s="14"/>
      <c r="J74" s="14">
        <v>25.6</v>
      </c>
      <c r="K74" s="14">
        <v>4.429176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ht="24" hidden="1" customHeight="1" spans="1:23">
      <c r="A75" s="13">
        <v>16</v>
      </c>
      <c r="B75" s="13" t="s">
        <v>165</v>
      </c>
      <c r="C75" s="13" t="s">
        <v>106</v>
      </c>
      <c r="D75" s="13"/>
      <c r="E75" s="13"/>
      <c r="F75" s="13" t="s">
        <v>166</v>
      </c>
      <c r="G75" s="13" t="s">
        <v>167</v>
      </c>
      <c r="H75" s="14">
        <f t="shared" si="7"/>
        <v>10.4118</v>
      </c>
      <c r="I75" s="14">
        <v>10.4118</v>
      </c>
      <c r="J75" s="14"/>
      <c r="K75" s="14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ht="24" hidden="1" customHeight="1" spans="1:23">
      <c r="A76" s="13">
        <v>17</v>
      </c>
      <c r="B76" s="13" t="s">
        <v>168</v>
      </c>
      <c r="C76" s="13" t="s">
        <v>106</v>
      </c>
      <c r="D76" s="13"/>
      <c r="E76" s="13"/>
      <c r="F76" s="13" t="s">
        <v>166</v>
      </c>
      <c r="G76" s="13" t="s">
        <v>167</v>
      </c>
      <c r="H76" s="14">
        <f t="shared" si="7"/>
        <v>12.746494</v>
      </c>
      <c r="I76" s="14">
        <v>12.746494</v>
      </c>
      <c r="J76" s="14"/>
      <c r="K76" s="14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ht="24" hidden="1" customHeight="1" spans="1:23">
      <c r="A77" s="13">
        <v>18</v>
      </c>
      <c r="B77" s="13" t="s">
        <v>169</v>
      </c>
      <c r="C77" s="13" t="s">
        <v>106</v>
      </c>
      <c r="D77" s="13"/>
      <c r="E77" s="13"/>
      <c r="F77" s="13" t="s">
        <v>166</v>
      </c>
      <c r="G77" s="13" t="s">
        <v>170</v>
      </c>
      <c r="H77" s="14">
        <f t="shared" si="7"/>
        <v>44.925943</v>
      </c>
      <c r="I77" s="14">
        <v>44.925943</v>
      </c>
      <c r="J77" s="14"/>
      <c r="K77" s="14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ht="24" hidden="1" customHeight="1" spans="1:23">
      <c r="A78" s="13">
        <v>19</v>
      </c>
      <c r="B78" s="13" t="s">
        <v>171</v>
      </c>
      <c r="C78" s="13" t="s">
        <v>106</v>
      </c>
      <c r="D78" s="13"/>
      <c r="E78" s="13"/>
      <c r="F78" s="13" t="s">
        <v>166</v>
      </c>
      <c r="G78" s="13" t="s">
        <v>170</v>
      </c>
      <c r="H78" s="14">
        <f t="shared" si="7"/>
        <v>10.35139</v>
      </c>
      <c r="I78" s="14">
        <v>10.35139</v>
      </c>
      <c r="J78" s="14"/>
      <c r="K78" s="14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ht="24" hidden="1" customHeight="1" spans="1:23">
      <c r="A79" s="13">
        <v>20</v>
      </c>
      <c r="B79" s="13" t="s">
        <v>172</v>
      </c>
      <c r="C79" s="13" t="s">
        <v>106</v>
      </c>
      <c r="D79" s="13"/>
      <c r="E79" s="13"/>
      <c r="F79" s="13" t="s">
        <v>166</v>
      </c>
      <c r="G79" s="13" t="s">
        <v>170</v>
      </c>
      <c r="H79" s="14">
        <f t="shared" si="7"/>
        <v>27.092005</v>
      </c>
      <c r="I79" s="14">
        <v>27.092005</v>
      </c>
      <c r="J79" s="14"/>
      <c r="K79" s="14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ht="24" hidden="1" customHeight="1" spans="1:23">
      <c r="A80" s="13">
        <v>21</v>
      </c>
      <c r="B80" s="13" t="s">
        <v>173</v>
      </c>
      <c r="C80" s="13" t="s">
        <v>106</v>
      </c>
      <c r="D80" s="13"/>
      <c r="E80" s="13"/>
      <c r="F80" s="13" t="s">
        <v>166</v>
      </c>
      <c r="G80" s="13" t="s">
        <v>167</v>
      </c>
      <c r="H80" s="14">
        <f t="shared" si="7"/>
        <v>21.601932</v>
      </c>
      <c r="I80" s="14">
        <v>21.601932</v>
      </c>
      <c r="J80" s="14"/>
      <c r="K80" s="14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ht="24" hidden="1" customHeight="1" spans="1:23">
      <c r="A81" s="13">
        <v>22</v>
      </c>
      <c r="B81" s="13" t="s">
        <v>174</v>
      </c>
      <c r="C81" s="13" t="s">
        <v>106</v>
      </c>
      <c r="D81" s="13"/>
      <c r="E81" s="13"/>
      <c r="F81" s="13" t="s">
        <v>166</v>
      </c>
      <c r="G81" s="13" t="s">
        <v>170</v>
      </c>
      <c r="H81" s="14">
        <f t="shared" si="7"/>
        <v>14.329569</v>
      </c>
      <c r="I81" s="14">
        <v>14.329569</v>
      </c>
      <c r="J81" s="14"/>
      <c r="K81" s="14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ht="24" hidden="1" customHeight="1" spans="1:23">
      <c r="A82" s="13">
        <v>23</v>
      </c>
      <c r="B82" s="13" t="s">
        <v>175</v>
      </c>
      <c r="C82" s="13" t="s">
        <v>106</v>
      </c>
      <c r="D82" s="13"/>
      <c r="E82" s="13"/>
      <c r="F82" s="13" t="s">
        <v>166</v>
      </c>
      <c r="G82" s="13" t="s">
        <v>170</v>
      </c>
      <c r="H82" s="14">
        <f t="shared" si="7"/>
        <v>5.043068</v>
      </c>
      <c r="I82" s="14">
        <v>5.043068</v>
      </c>
      <c r="J82" s="14"/>
      <c r="K82" s="14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ht="24" hidden="1" customHeight="1" spans="1:23">
      <c r="A83" s="13">
        <v>24</v>
      </c>
      <c r="B83" s="13" t="s">
        <v>176</v>
      </c>
      <c r="C83" s="13" t="s">
        <v>117</v>
      </c>
      <c r="D83" s="13"/>
      <c r="E83" s="13"/>
      <c r="F83" s="13" t="s">
        <v>118</v>
      </c>
      <c r="G83" s="13" t="s">
        <v>177</v>
      </c>
      <c r="H83" s="14">
        <f t="shared" si="7"/>
        <v>258.599562</v>
      </c>
      <c r="I83" s="14">
        <v>203.52</v>
      </c>
      <c r="J83" s="14">
        <v>55.079562</v>
      </c>
      <c r="K83" s="14">
        <v>0</v>
      </c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ht="24" hidden="1" customHeight="1" spans="1:23">
      <c r="A84" s="13">
        <v>25</v>
      </c>
      <c r="B84" s="13" t="s">
        <v>178</v>
      </c>
      <c r="C84" s="13" t="s">
        <v>117</v>
      </c>
      <c r="D84" s="13"/>
      <c r="E84" s="13"/>
      <c r="F84" s="13" t="s">
        <v>98</v>
      </c>
      <c r="G84" s="13" t="s">
        <v>179</v>
      </c>
      <c r="H84" s="14">
        <f t="shared" si="7"/>
        <v>211.748445</v>
      </c>
      <c r="I84" s="14">
        <v>0</v>
      </c>
      <c r="J84" s="14">
        <v>127.45</v>
      </c>
      <c r="K84" s="14">
        <v>84.298445</v>
      </c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ht="24" hidden="1" customHeight="1" spans="1:23">
      <c r="A85" s="13">
        <v>26</v>
      </c>
      <c r="B85" s="13" t="s">
        <v>180</v>
      </c>
      <c r="C85" s="13" t="s">
        <v>117</v>
      </c>
      <c r="D85" s="13"/>
      <c r="E85" s="13"/>
      <c r="F85" s="13" t="s">
        <v>98</v>
      </c>
      <c r="G85" s="13" t="s">
        <v>181</v>
      </c>
      <c r="H85" s="14">
        <f t="shared" si="7"/>
        <v>258.416422</v>
      </c>
      <c r="I85" s="14">
        <v>0</v>
      </c>
      <c r="J85" s="14">
        <v>0</v>
      </c>
      <c r="K85" s="14">
        <v>258.416422</v>
      </c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ht="24" hidden="1" customHeight="1" spans="1:23">
      <c r="A86" s="13">
        <v>27</v>
      </c>
      <c r="B86" s="13" t="s">
        <v>182</v>
      </c>
      <c r="C86" s="13" t="s">
        <v>117</v>
      </c>
      <c r="D86" s="13"/>
      <c r="E86" s="13"/>
      <c r="F86" s="13" t="s">
        <v>118</v>
      </c>
      <c r="G86" s="13" t="s">
        <v>183</v>
      </c>
      <c r="H86" s="14">
        <f t="shared" si="7"/>
        <v>112.656691</v>
      </c>
      <c r="I86" s="14">
        <v>112.656691</v>
      </c>
      <c r="J86" s="14">
        <v>0</v>
      </c>
      <c r="K86" s="14">
        <v>0</v>
      </c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ht="24" hidden="1" customHeight="1" spans="1:23">
      <c r="A87" s="13">
        <v>28</v>
      </c>
      <c r="B87" s="13" t="s">
        <v>184</v>
      </c>
      <c r="C87" s="13" t="s">
        <v>117</v>
      </c>
      <c r="D87" s="13"/>
      <c r="E87" s="13"/>
      <c r="F87" s="13" t="s">
        <v>130</v>
      </c>
      <c r="G87" s="13" t="s">
        <v>185</v>
      </c>
      <c r="H87" s="14">
        <f t="shared" si="7"/>
        <v>89.82831</v>
      </c>
      <c r="I87" s="14">
        <v>89.82831</v>
      </c>
      <c r="J87" s="14">
        <v>0</v>
      </c>
      <c r="K87" s="14">
        <v>0</v>
      </c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ht="24" hidden="1" customHeight="1" spans="1:23">
      <c r="A88" s="13">
        <v>29</v>
      </c>
      <c r="B88" s="13" t="s">
        <v>186</v>
      </c>
      <c r="C88" s="13" t="s">
        <v>117</v>
      </c>
      <c r="D88" s="13"/>
      <c r="E88" s="13"/>
      <c r="F88" s="13" t="s">
        <v>124</v>
      </c>
      <c r="G88" s="13" t="s">
        <v>187</v>
      </c>
      <c r="H88" s="14">
        <f t="shared" si="7"/>
        <v>84.1438</v>
      </c>
      <c r="I88" s="14">
        <v>84.1438</v>
      </c>
      <c r="J88" s="14">
        <v>0</v>
      </c>
      <c r="K88" s="14">
        <v>0</v>
      </c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ht="24" hidden="1" customHeight="1" spans="1:23">
      <c r="A89" s="13">
        <v>30</v>
      </c>
      <c r="B89" s="13" t="s">
        <v>188</v>
      </c>
      <c r="C89" s="13" t="s">
        <v>117</v>
      </c>
      <c r="D89" s="13"/>
      <c r="E89" s="13"/>
      <c r="F89" s="13" t="s">
        <v>124</v>
      </c>
      <c r="G89" s="13" t="s">
        <v>189</v>
      </c>
      <c r="H89" s="14">
        <f t="shared" si="7"/>
        <v>118.3034</v>
      </c>
      <c r="I89" s="14">
        <v>118.3034</v>
      </c>
      <c r="J89" s="14">
        <v>0</v>
      </c>
      <c r="K89" s="14">
        <v>0</v>
      </c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ht="24" hidden="1" customHeight="1" spans="1:23">
      <c r="A90" s="13">
        <v>31</v>
      </c>
      <c r="B90" s="13" t="s">
        <v>190</v>
      </c>
      <c r="C90" s="13" t="s">
        <v>117</v>
      </c>
      <c r="D90" s="13"/>
      <c r="E90" s="13"/>
      <c r="F90" s="13" t="s">
        <v>98</v>
      </c>
      <c r="G90" s="13" t="s">
        <v>133</v>
      </c>
      <c r="H90" s="14">
        <f t="shared" si="7"/>
        <v>104.681652</v>
      </c>
      <c r="I90" s="14"/>
      <c r="J90" s="14"/>
      <c r="K90" s="14">
        <v>104.681652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ht="24" hidden="1" customHeight="1" spans="1:23">
      <c r="A91" s="13" t="s">
        <v>51</v>
      </c>
      <c r="B91" s="13" t="s">
        <v>52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ht="24" hidden="1" customHeight="1" spans="1:23">
      <c r="A92" s="13">
        <v>1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ht="24" hidden="1" customHeight="1" spans="1:23">
      <c r="A93" s="13" t="s">
        <v>30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ht="24" hidden="1" customHeight="1" spans="1:23">
      <c r="A94" s="13" t="s">
        <v>53</v>
      </c>
      <c r="B94" s="13" t="s">
        <v>54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ht="24" hidden="1" customHeight="1" spans="1:23">
      <c r="A95" s="13">
        <v>1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ht="24" hidden="1" customHeight="1" spans="1:23">
      <c r="A96" s="13" t="s">
        <v>30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hidden="1" spans="1:23">
      <c r="A97" s="15" t="s">
        <v>191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hidden="1" spans="1:23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hidden="1" spans="1:23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</sheetData>
  <autoFilter ref="A9:W99">
    <filterColumn colId="2">
      <customFilters>
        <customFilter operator="equal" val="天涯区"/>
      </customFilters>
    </filterColumn>
  </autoFilter>
  <mergeCells count="30">
    <mergeCell ref="A1:C1"/>
    <mergeCell ref="A2:W2"/>
    <mergeCell ref="A3:B3"/>
    <mergeCell ref="T3:W3"/>
    <mergeCell ref="H4:N4"/>
    <mergeCell ref="S4:U4"/>
    <mergeCell ref="I5:N5"/>
    <mergeCell ref="I6:K6"/>
    <mergeCell ref="A8:B8"/>
    <mergeCell ref="A4:A7"/>
    <mergeCell ref="B4:B7"/>
    <mergeCell ref="C4:C7"/>
    <mergeCell ref="D4:D7"/>
    <mergeCell ref="E4:E7"/>
    <mergeCell ref="F4:F7"/>
    <mergeCell ref="G4:G7"/>
    <mergeCell ref="H5:H7"/>
    <mergeCell ref="L6:L7"/>
    <mergeCell ref="M6:M7"/>
    <mergeCell ref="N6:N7"/>
    <mergeCell ref="O4:O7"/>
    <mergeCell ref="P4:P7"/>
    <mergeCell ref="Q4:Q7"/>
    <mergeCell ref="R4:R7"/>
    <mergeCell ref="S5:S7"/>
    <mergeCell ref="T5:T7"/>
    <mergeCell ref="U5:U7"/>
    <mergeCell ref="V4:V7"/>
    <mergeCell ref="W4:W7"/>
    <mergeCell ref="A97:W99"/>
  </mergeCells>
  <pageMargins left="0.707638888888889" right="0.707638888888889" top="0.747916666666667" bottom="0.747916666666667" header="0.313888888888889" footer="0.313888888888889"/>
  <pageSetup paperSize="9" scale="46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2"/>
  <sheetViews>
    <sheetView tabSelected="1" zoomScale="90" zoomScaleNormal="90" workbookViewId="0">
      <selection activeCell="A4" sqref="$A4:$XFD11"/>
    </sheetView>
  </sheetViews>
  <sheetFormatPr defaultColWidth="9" defaultRowHeight="13.5"/>
  <cols>
    <col min="1" max="1" width="6.325" style="58" customWidth="1"/>
    <col min="2" max="2" width="8.525" style="58" customWidth="1"/>
    <col min="3" max="3" width="20.5833333333333" style="58" customWidth="1"/>
    <col min="4" max="4" width="11.175" style="58" customWidth="1"/>
    <col min="5" max="5" width="24.7583333333333" style="64" customWidth="1"/>
    <col min="6" max="6" width="16.6083333333333" style="58" customWidth="1"/>
    <col min="7" max="7" width="12.1333333333333" style="64" customWidth="1"/>
    <col min="8" max="8" width="18.3833333333333" style="65" customWidth="1"/>
    <col min="9" max="9" width="30.4333333333333" style="66" customWidth="1"/>
    <col min="10" max="10" width="22.625" style="58" customWidth="1"/>
    <col min="11" max="11" width="34.4083333333333" style="67" customWidth="1"/>
    <col min="12" max="12" width="14.2583333333333" style="58" customWidth="1"/>
    <col min="13" max="13" width="15.8833333333333" style="58" customWidth="1"/>
    <col min="14" max="14" width="14.9916666666667" style="58" customWidth="1"/>
    <col min="15" max="15" width="11.9" style="58" customWidth="1"/>
    <col min="16" max="16" width="12.8" style="58" customWidth="1"/>
    <col min="17" max="17" width="9.4" style="58" customWidth="1"/>
    <col min="18" max="18" width="9.63333333333333" style="58" customWidth="1"/>
    <col min="19" max="19" width="7.5" style="65" customWidth="1"/>
    <col min="20" max="20" width="10.625" style="65" customWidth="1"/>
    <col min="21" max="21" width="7.34166666666667" style="65" customWidth="1"/>
    <col min="22" max="22" width="10.1333333333333" style="65" customWidth="1"/>
    <col min="23" max="23" width="10.7583333333333" style="65" customWidth="1"/>
    <col min="24" max="24" width="9.13333333333333" style="58" customWidth="1"/>
    <col min="25" max="25" width="12.3833333333333" style="58" customWidth="1"/>
    <col min="26" max="26" width="11.325" style="58" customWidth="1"/>
    <col min="27" max="27" width="16.9083333333333" style="58" customWidth="1"/>
    <col min="28" max="28" width="14.1166666666667" style="64" customWidth="1"/>
    <col min="29" max="16373" width="9" style="58"/>
  </cols>
  <sheetData>
    <row r="1" s="58" customFormat="1" ht="45" customHeight="1" spans="1:28">
      <c r="A1" s="68" t="s">
        <v>192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="59" customFormat="1" ht="37" customHeight="1" spans="1:28">
      <c r="A2" s="69" t="s">
        <v>3</v>
      </c>
      <c r="B2" s="69" t="s">
        <v>193</v>
      </c>
      <c r="C2" s="69" t="s">
        <v>194</v>
      </c>
      <c r="D2" s="69" t="s">
        <v>195</v>
      </c>
      <c r="E2" s="69" t="s">
        <v>196</v>
      </c>
      <c r="F2" s="69" t="s">
        <v>197</v>
      </c>
      <c r="G2" s="70" t="s">
        <v>198</v>
      </c>
      <c r="H2" s="71"/>
      <c r="I2" s="69" t="s">
        <v>199</v>
      </c>
      <c r="J2" s="69" t="s">
        <v>200</v>
      </c>
      <c r="K2" s="69" t="s">
        <v>201</v>
      </c>
      <c r="L2" s="69" t="s">
        <v>202</v>
      </c>
      <c r="M2" s="70" t="s">
        <v>203</v>
      </c>
      <c r="N2" s="86"/>
      <c r="O2" s="71"/>
      <c r="P2" s="69" t="s">
        <v>204</v>
      </c>
      <c r="Q2" s="74" t="s">
        <v>205</v>
      </c>
      <c r="R2" s="70" t="s">
        <v>206</v>
      </c>
      <c r="S2" s="86"/>
      <c r="T2" s="86"/>
      <c r="U2" s="71"/>
      <c r="V2" s="70" t="s">
        <v>207</v>
      </c>
      <c r="W2" s="71"/>
      <c r="X2" s="70" t="s">
        <v>208</v>
      </c>
      <c r="Y2" s="71"/>
      <c r="Z2" s="69" t="s">
        <v>209</v>
      </c>
      <c r="AA2" s="69" t="s">
        <v>210</v>
      </c>
      <c r="AB2" s="98" t="s">
        <v>211</v>
      </c>
    </row>
    <row r="3" s="59" customFormat="1" ht="46.5" customHeight="1" spans="1:28">
      <c r="A3" s="72"/>
      <c r="B3" s="72"/>
      <c r="C3" s="72"/>
      <c r="D3" s="72"/>
      <c r="E3" s="73"/>
      <c r="F3" s="73"/>
      <c r="G3" s="73" t="s">
        <v>212</v>
      </c>
      <c r="H3" s="73" t="s">
        <v>213</v>
      </c>
      <c r="I3" s="73"/>
      <c r="J3" s="73"/>
      <c r="K3" s="73"/>
      <c r="L3" s="73"/>
      <c r="M3" s="69" t="s">
        <v>16</v>
      </c>
      <c r="N3" s="69" t="s">
        <v>214</v>
      </c>
      <c r="O3" s="69" t="s">
        <v>215</v>
      </c>
      <c r="P3" s="73"/>
      <c r="Q3" s="69" t="s">
        <v>216</v>
      </c>
      <c r="R3" s="69" t="s">
        <v>217</v>
      </c>
      <c r="S3" s="69" t="s">
        <v>218</v>
      </c>
      <c r="T3" s="69" t="s">
        <v>219</v>
      </c>
      <c r="U3" s="69" t="s">
        <v>220</v>
      </c>
      <c r="V3" s="69" t="s">
        <v>221</v>
      </c>
      <c r="W3" s="69" t="s">
        <v>222</v>
      </c>
      <c r="X3" s="69" t="s">
        <v>223</v>
      </c>
      <c r="Y3" s="69" t="s">
        <v>224</v>
      </c>
      <c r="Z3" s="73"/>
      <c r="AA3" s="73"/>
      <c r="AB3" s="99"/>
    </row>
    <row r="4" s="60" customFormat="1" ht="130" customHeight="1" spans="1:28">
      <c r="A4" s="74">
        <v>1</v>
      </c>
      <c r="B4" s="75" t="s">
        <v>225</v>
      </c>
      <c r="C4" s="75" t="s">
        <v>226</v>
      </c>
      <c r="D4" s="75" t="s">
        <v>227</v>
      </c>
      <c r="E4" s="75" t="s">
        <v>227</v>
      </c>
      <c r="F4" s="75" t="s">
        <v>228</v>
      </c>
      <c r="G4" s="75" t="s">
        <v>229</v>
      </c>
      <c r="H4" s="75" t="s">
        <v>230</v>
      </c>
      <c r="I4" s="75" t="s">
        <v>231</v>
      </c>
      <c r="J4" s="87" t="s">
        <v>232</v>
      </c>
      <c r="K4" s="75" t="s">
        <v>233</v>
      </c>
      <c r="L4" s="75" t="s">
        <v>234</v>
      </c>
      <c r="M4" s="76">
        <v>404</v>
      </c>
      <c r="N4" s="76">
        <v>346.59</v>
      </c>
      <c r="O4" s="75">
        <v>0</v>
      </c>
      <c r="P4" s="76">
        <v>142.6</v>
      </c>
      <c r="Q4" s="74" t="s">
        <v>235</v>
      </c>
      <c r="R4" s="81" t="s">
        <v>236</v>
      </c>
      <c r="S4" s="74" t="s">
        <v>237</v>
      </c>
      <c r="T4" s="74" t="s">
        <v>238</v>
      </c>
      <c r="U4" s="74"/>
      <c r="V4" s="74" t="s">
        <v>239</v>
      </c>
      <c r="W4" s="74" t="s">
        <v>238</v>
      </c>
      <c r="X4" s="74" t="s">
        <v>240</v>
      </c>
      <c r="Y4" s="74" t="s">
        <v>240</v>
      </c>
      <c r="Z4" s="81" t="s">
        <v>236</v>
      </c>
      <c r="AA4" s="74"/>
      <c r="AB4" s="100"/>
    </row>
    <row r="5" s="60" customFormat="1" ht="130" customHeight="1" spans="1:28">
      <c r="A5" s="74">
        <v>2</v>
      </c>
      <c r="B5" s="75" t="s">
        <v>225</v>
      </c>
      <c r="C5" s="75" t="s">
        <v>241</v>
      </c>
      <c r="D5" s="75" t="s">
        <v>227</v>
      </c>
      <c r="E5" s="75" t="s">
        <v>227</v>
      </c>
      <c r="F5" s="75" t="s">
        <v>242</v>
      </c>
      <c r="G5" s="75" t="s">
        <v>229</v>
      </c>
      <c r="H5" s="75" t="s">
        <v>230</v>
      </c>
      <c r="I5" s="88" t="s">
        <v>243</v>
      </c>
      <c r="J5" s="87" t="s">
        <v>244</v>
      </c>
      <c r="K5" s="75" t="s">
        <v>245</v>
      </c>
      <c r="L5" s="75" t="s">
        <v>246</v>
      </c>
      <c r="M5" s="76">
        <v>259.5</v>
      </c>
      <c r="N5" s="76">
        <v>251.715</v>
      </c>
      <c r="O5" s="75">
        <v>0</v>
      </c>
      <c r="P5" s="76">
        <v>155.7</v>
      </c>
      <c r="Q5" s="74" t="s">
        <v>235</v>
      </c>
      <c r="R5" s="81" t="s">
        <v>236</v>
      </c>
      <c r="S5" s="74" t="s">
        <v>237</v>
      </c>
      <c r="T5" s="74" t="s">
        <v>247</v>
      </c>
      <c r="U5" s="74"/>
      <c r="V5" s="74" t="s">
        <v>239</v>
      </c>
      <c r="W5" s="74" t="s">
        <v>247</v>
      </c>
      <c r="X5" s="74" t="s">
        <v>240</v>
      </c>
      <c r="Y5" s="74" t="s">
        <v>240</v>
      </c>
      <c r="Z5" s="81" t="s">
        <v>236</v>
      </c>
      <c r="AA5" s="74"/>
      <c r="AB5" s="100"/>
    </row>
    <row r="6" s="60" customFormat="1" ht="130" customHeight="1" spans="1:28">
      <c r="A6" s="74">
        <v>3</v>
      </c>
      <c r="B6" s="76" t="s">
        <v>225</v>
      </c>
      <c r="C6" s="76" t="s">
        <v>248</v>
      </c>
      <c r="D6" s="75" t="s">
        <v>227</v>
      </c>
      <c r="E6" s="75" t="s">
        <v>227</v>
      </c>
      <c r="F6" s="75" t="s">
        <v>249</v>
      </c>
      <c r="G6" s="75" t="s">
        <v>229</v>
      </c>
      <c r="H6" s="75" t="s">
        <v>230</v>
      </c>
      <c r="I6" s="75" t="s">
        <v>250</v>
      </c>
      <c r="J6" s="87" t="s">
        <v>251</v>
      </c>
      <c r="K6" s="75" t="s">
        <v>252</v>
      </c>
      <c r="L6" s="75" t="s">
        <v>253</v>
      </c>
      <c r="M6" s="76">
        <v>355.6</v>
      </c>
      <c r="N6" s="76">
        <v>309.4</v>
      </c>
      <c r="O6" s="75">
        <v>0</v>
      </c>
      <c r="P6" s="76">
        <v>124.6</v>
      </c>
      <c r="Q6" s="74" t="s">
        <v>235</v>
      </c>
      <c r="R6" s="81" t="s">
        <v>236</v>
      </c>
      <c r="S6" s="74" t="s">
        <v>237</v>
      </c>
      <c r="T6" s="74" t="s">
        <v>254</v>
      </c>
      <c r="U6" s="74"/>
      <c r="V6" s="74" t="s">
        <v>239</v>
      </c>
      <c r="W6" s="74" t="s">
        <v>254</v>
      </c>
      <c r="X6" s="74" t="s">
        <v>240</v>
      </c>
      <c r="Y6" s="74" t="s">
        <v>240</v>
      </c>
      <c r="Z6" s="81" t="s">
        <v>236</v>
      </c>
      <c r="AA6" s="74"/>
      <c r="AB6" s="100"/>
    </row>
    <row r="7" s="60" customFormat="1" ht="130" customHeight="1" spans="1:28">
      <c r="A7" s="74">
        <v>4</v>
      </c>
      <c r="B7" s="75">
        <v>2023</v>
      </c>
      <c r="C7" s="75" t="s">
        <v>255</v>
      </c>
      <c r="D7" s="75" t="s">
        <v>227</v>
      </c>
      <c r="E7" s="75" t="s">
        <v>227</v>
      </c>
      <c r="F7" s="75" t="s">
        <v>256</v>
      </c>
      <c r="G7" s="75" t="s">
        <v>229</v>
      </c>
      <c r="H7" s="75" t="s">
        <v>257</v>
      </c>
      <c r="I7" s="75" t="s">
        <v>258</v>
      </c>
      <c r="J7" s="87" t="s">
        <v>259</v>
      </c>
      <c r="K7" s="75" t="s">
        <v>260</v>
      </c>
      <c r="L7" s="75" t="s">
        <v>261</v>
      </c>
      <c r="M7" s="76">
        <v>500</v>
      </c>
      <c r="N7" s="76">
        <v>500</v>
      </c>
      <c r="O7" s="75">
        <f>M7-N7</f>
        <v>0</v>
      </c>
      <c r="P7" s="76">
        <v>500</v>
      </c>
      <c r="Q7" s="74" t="s">
        <v>235</v>
      </c>
      <c r="R7" s="81" t="s">
        <v>236</v>
      </c>
      <c r="S7" s="74" t="s">
        <v>237</v>
      </c>
      <c r="T7" s="74" t="s">
        <v>262</v>
      </c>
      <c r="U7" s="74"/>
      <c r="V7" s="74" t="s">
        <v>239</v>
      </c>
      <c r="W7" s="74" t="s">
        <v>262</v>
      </c>
      <c r="X7" s="74" t="s">
        <v>240</v>
      </c>
      <c r="Y7" s="74" t="s">
        <v>240</v>
      </c>
      <c r="Z7" s="81" t="s">
        <v>236</v>
      </c>
      <c r="AA7" s="74"/>
      <c r="AB7" s="100"/>
    </row>
    <row r="8" s="61" customFormat="1" ht="130" customHeight="1" spans="1:28">
      <c r="A8" s="74">
        <v>5</v>
      </c>
      <c r="B8" s="75">
        <v>2023</v>
      </c>
      <c r="C8" s="75" t="s">
        <v>263</v>
      </c>
      <c r="D8" s="75" t="s">
        <v>227</v>
      </c>
      <c r="E8" s="75" t="s">
        <v>264</v>
      </c>
      <c r="F8" s="75" t="s">
        <v>256</v>
      </c>
      <c r="G8" s="75" t="s">
        <v>229</v>
      </c>
      <c r="H8" s="75" t="s">
        <v>257</v>
      </c>
      <c r="I8" s="75" t="s">
        <v>265</v>
      </c>
      <c r="J8" s="87" t="s">
        <v>266</v>
      </c>
      <c r="K8" s="75" t="s">
        <v>264</v>
      </c>
      <c r="L8" s="75" t="s">
        <v>267</v>
      </c>
      <c r="M8" s="76">
        <v>234.3</v>
      </c>
      <c r="N8" s="76">
        <v>234.3</v>
      </c>
      <c r="O8" s="75">
        <f>M8-N8</f>
        <v>0</v>
      </c>
      <c r="P8" s="76">
        <v>44.3</v>
      </c>
      <c r="Q8" s="74" t="s">
        <v>235</v>
      </c>
      <c r="R8" s="81" t="s">
        <v>236</v>
      </c>
      <c r="S8" s="74" t="s">
        <v>237</v>
      </c>
      <c r="T8" s="74" t="s">
        <v>268</v>
      </c>
      <c r="U8" s="74"/>
      <c r="V8" s="74" t="s">
        <v>239</v>
      </c>
      <c r="W8" s="74" t="s">
        <v>268</v>
      </c>
      <c r="X8" s="74" t="s">
        <v>240</v>
      </c>
      <c r="Y8" s="74" t="s">
        <v>240</v>
      </c>
      <c r="Z8" s="81" t="s">
        <v>269</v>
      </c>
      <c r="AA8" s="74"/>
      <c r="AB8" s="100"/>
    </row>
    <row r="9" s="62" customFormat="1" ht="130" customHeight="1" spans="1:28">
      <c r="A9" s="74">
        <v>6</v>
      </c>
      <c r="B9" s="75">
        <v>2023</v>
      </c>
      <c r="C9" s="75" t="s">
        <v>270</v>
      </c>
      <c r="D9" s="75" t="s">
        <v>227</v>
      </c>
      <c r="E9" s="75" t="s">
        <v>271</v>
      </c>
      <c r="F9" s="76" t="s">
        <v>272</v>
      </c>
      <c r="G9" s="75" t="s">
        <v>229</v>
      </c>
      <c r="H9" s="75" t="s">
        <v>230</v>
      </c>
      <c r="I9" s="75" t="s">
        <v>273</v>
      </c>
      <c r="J9" s="87" t="s">
        <v>274</v>
      </c>
      <c r="K9" s="75" t="s">
        <v>260</v>
      </c>
      <c r="L9" s="75" t="s">
        <v>275</v>
      </c>
      <c r="M9" s="76">
        <v>76.388497</v>
      </c>
      <c r="N9" s="76">
        <v>69.698108</v>
      </c>
      <c r="O9" s="75">
        <v>4.846339</v>
      </c>
      <c r="P9" s="76">
        <v>76.39</v>
      </c>
      <c r="Q9" s="74" t="s">
        <v>235</v>
      </c>
      <c r="R9" s="81" t="s">
        <v>236</v>
      </c>
      <c r="S9" s="74" t="s">
        <v>237</v>
      </c>
      <c r="T9" s="74" t="s">
        <v>262</v>
      </c>
      <c r="U9" s="74"/>
      <c r="V9" s="74" t="s">
        <v>239</v>
      </c>
      <c r="W9" s="74" t="s">
        <v>262</v>
      </c>
      <c r="X9" s="74" t="s">
        <v>240</v>
      </c>
      <c r="Y9" s="74" t="s">
        <v>240</v>
      </c>
      <c r="Z9" s="81" t="s">
        <v>269</v>
      </c>
      <c r="AA9" s="74"/>
      <c r="AB9" s="100"/>
    </row>
    <row r="10" s="60" customFormat="1" ht="130" customHeight="1" spans="1:28">
      <c r="A10" s="74">
        <v>7</v>
      </c>
      <c r="B10" s="75">
        <v>2023</v>
      </c>
      <c r="C10" s="75" t="s">
        <v>276</v>
      </c>
      <c r="D10" s="75" t="s">
        <v>277</v>
      </c>
      <c r="E10" s="75" t="s">
        <v>277</v>
      </c>
      <c r="F10" s="75" t="s">
        <v>278</v>
      </c>
      <c r="G10" s="75" t="s">
        <v>279</v>
      </c>
      <c r="H10" s="75" t="s">
        <v>280</v>
      </c>
      <c r="I10" s="75" t="s">
        <v>281</v>
      </c>
      <c r="J10" s="87" t="s">
        <v>282</v>
      </c>
      <c r="K10" s="75" t="s">
        <v>277</v>
      </c>
      <c r="L10" s="75" t="s">
        <v>283</v>
      </c>
      <c r="M10" s="89">
        <v>64.82191</v>
      </c>
      <c r="N10" s="76">
        <v>58.662639</v>
      </c>
      <c r="O10" s="75">
        <v>4.344962</v>
      </c>
      <c r="P10" s="76">
        <v>64.82</v>
      </c>
      <c r="Q10" s="74" t="s">
        <v>235</v>
      </c>
      <c r="R10" s="81" t="s">
        <v>236</v>
      </c>
      <c r="S10" s="74" t="s">
        <v>240</v>
      </c>
      <c r="T10" s="74" t="s">
        <v>240</v>
      </c>
      <c r="U10" s="74"/>
      <c r="V10" s="74" t="s">
        <v>284</v>
      </c>
      <c r="W10" s="74" t="s">
        <v>277</v>
      </c>
      <c r="X10" s="74" t="s">
        <v>240</v>
      </c>
      <c r="Y10" s="74" t="s">
        <v>240</v>
      </c>
      <c r="Z10" s="81" t="s">
        <v>269</v>
      </c>
      <c r="AA10" s="74"/>
      <c r="AB10" s="100"/>
    </row>
    <row r="11" s="60" customFormat="1" ht="130" customHeight="1" spans="1:28">
      <c r="A11" s="74">
        <v>8</v>
      </c>
      <c r="B11" s="75">
        <v>2023</v>
      </c>
      <c r="C11" s="75" t="s">
        <v>285</v>
      </c>
      <c r="D11" s="75" t="s">
        <v>227</v>
      </c>
      <c r="E11" s="75" t="s">
        <v>271</v>
      </c>
      <c r="F11" s="75" t="s">
        <v>286</v>
      </c>
      <c r="G11" s="75" t="s">
        <v>279</v>
      </c>
      <c r="H11" s="75" t="s">
        <v>280</v>
      </c>
      <c r="I11" s="75" t="s">
        <v>287</v>
      </c>
      <c r="J11" s="87" t="s">
        <v>288</v>
      </c>
      <c r="K11" s="75" t="s">
        <v>271</v>
      </c>
      <c r="L11" s="75" t="s">
        <v>289</v>
      </c>
      <c r="M11" s="90">
        <v>13.839528</v>
      </c>
      <c r="N11" s="91">
        <v>10</v>
      </c>
      <c r="O11" s="75">
        <v>3.433342</v>
      </c>
      <c r="P11" s="76">
        <v>13.83</v>
      </c>
      <c r="Q11" s="74" t="s">
        <v>235</v>
      </c>
      <c r="R11" s="81" t="s">
        <v>236</v>
      </c>
      <c r="S11" s="74" t="s">
        <v>240</v>
      </c>
      <c r="T11" s="74" t="s">
        <v>240</v>
      </c>
      <c r="U11" s="74"/>
      <c r="V11" s="74" t="s">
        <v>284</v>
      </c>
      <c r="W11" s="74" t="s">
        <v>271</v>
      </c>
      <c r="X11" s="74" t="s">
        <v>240</v>
      </c>
      <c r="Y11" s="74" t="s">
        <v>240</v>
      </c>
      <c r="Z11" s="81" t="s">
        <v>269</v>
      </c>
      <c r="AA11" s="74"/>
      <c r="AB11" s="100"/>
    </row>
    <row r="12" s="60" customFormat="1" ht="125" hidden="1" customHeight="1" spans="1:28">
      <c r="A12" s="77">
        <v>1</v>
      </c>
      <c r="B12" s="77" t="s">
        <v>290</v>
      </c>
      <c r="C12" s="78" t="s">
        <v>291</v>
      </c>
      <c r="D12" s="77" t="s">
        <v>292</v>
      </c>
      <c r="E12" s="79" t="s">
        <v>293</v>
      </c>
      <c r="F12" s="80" t="s">
        <v>294</v>
      </c>
      <c r="G12" s="77" t="s">
        <v>229</v>
      </c>
      <c r="H12" s="77" t="s">
        <v>257</v>
      </c>
      <c r="I12" s="77" t="s">
        <v>295</v>
      </c>
      <c r="J12" s="77" t="s">
        <v>296</v>
      </c>
      <c r="K12" s="78" t="s">
        <v>297</v>
      </c>
      <c r="L12" s="79" t="s">
        <v>298</v>
      </c>
      <c r="M12" s="92">
        <v>661</v>
      </c>
      <c r="N12" s="92">
        <v>661</v>
      </c>
      <c r="O12" s="93"/>
      <c r="P12" s="93"/>
      <c r="Q12" s="77" t="s">
        <v>235</v>
      </c>
      <c r="R12" s="77" t="s">
        <v>236</v>
      </c>
      <c r="S12" s="77" t="s">
        <v>299</v>
      </c>
      <c r="T12" s="77" t="s">
        <v>300</v>
      </c>
      <c r="U12" s="77"/>
      <c r="V12" s="77" t="s">
        <v>301</v>
      </c>
      <c r="W12" s="78" t="s">
        <v>300</v>
      </c>
      <c r="X12" s="77" t="s">
        <v>240</v>
      </c>
      <c r="Y12" s="77" t="s">
        <v>240</v>
      </c>
      <c r="Z12" s="77" t="s">
        <v>236</v>
      </c>
      <c r="AA12" s="77"/>
      <c r="AB12" s="101"/>
    </row>
    <row r="13" s="63" customFormat="1" ht="239" hidden="1" customHeight="1" spans="1:28">
      <c r="A13" s="81">
        <v>2</v>
      </c>
      <c r="B13" s="81" t="s">
        <v>290</v>
      </c>
      <c r="C13" s="82" t="s">
        <v>302</v>
      </c>
      <c r="D13" s="81" t="s">
        <v>292</v>
      </c>
      <c r="E13" s="83" t="s">
        <v>293</v>
      </c>
      <c r="F13" s="84" t="s">
        <v>294</v>
      </c>
      <c r="G13" s="81" t="s">
        <v>229</v>
      </c>
      <c r="H13" s="81" t="s">
        <v>257</v>
      </c>
      <c r="I13" s="81" t="s">
        <v>295</v>
      </c>
      <c r="J13" s="81" t="s">
        <v>303</v>
      </c>
      <c r="K13" s="82" t="s">
        <v>304</v>
      </c>
      <c r="L13" s="83" t="s">
        <v>305</v>
      </c>
      <c r="M13" s="94">
        <v>2186.644863</v>
      </c>
      <c r="N13" s="94">
        <v>2186.644863</v>
      </c>
      <c r="O13" s="95"/>
      <c r="P13" s="95"/>
      <c r="Q13" s="81" t="s">
        <v>235</v>
      </c>
      <c r="R13" s="81" t="s">
        <v>236</v>
      </c>
      <c r="S13" s="81" t="s">
        <v>299</v>
      </c>
      <c r="T13" s="81" t="s">
        <v>300</v>
      </c>
      <c r="U13" s="97"/>
      <c r="V13" s="81" t="s">
        <v>301</v>
      </c>
      <c r="W13" s="82" t="s">
        <v>300</v>
      </c>
      <c r="X13" s="81" t="s">
        <v>240</v>
      </c>
      <c r="Y13" s="81" t="s">
        <v>240</v>
      </c>
      <c r="Z13" s="81" t="s">
        <v>236</v>
      </c>
      <c r="AA13" s="81"/>
      <c r="AB13" s="102"/>
    </row>
    <row r="14" s="63" customFormat="1" ht="120" hidden="1" customHeight="1" spans="1:28">
      <c r="A14" s="81">
        <v>3</v>
      </c>
      <c r="B14" s="81" t="s">
        <v>290</v>
      </c>
      <c r="C14" s="82" t="s">
        <v>306</v>
      </c>
      <c r="D14" s="81" t="s">
        <v>292</v>
      </c>
      <c r="E14" s="83" t="s">
        <v>307</v>
      </c>
      <c r="F14" s="84" t="s">
        <v>308</v>
      </c>
      <c r="G14" s="81" t="s">
        <v>279</v>
      </c>
      <c r="H14" s="81" t="s">
        <v>309</v>
      </c>
      <c r="I14" s="81" t="s">
        <v>310</v>
      </c>
      <c r="J14" s="81" t="s">
        <v>311</v>
      </c>
      <c r="K14" s="82" t="s">
        <v>312</v>
      </c>
      <c r="L14" s="83" t="s">
        <v>313</v>
      </c>
      <c r="M14" s="94">
        <v>329.825243</v>
      </c>
      <c r="N14" s="94">
        <v>329.825243</v>
      </c>
      <c r="O14" s="95"/>
      <c r="P14" s="95"/>
      <c r="Q14" s="81" t="s">
        <v>235</v>
      </c>
      <c r="R14" s="81" t="s">
        <v>236</v>
      </c>
      <c r="S14" s="81" t="s">
        <v>240</v>
      </c>
      <c r="T14" s="81" t="s">
        <v>240</v>
      </c>
      <c r="U14" s="81"/>
      <c r="V14" s="81" t="s">
        <v>284</v>
      </c>
      <c r="W14" s="82" t="s">
        <v>314</v>
      </c>
      <c r="X14" s="81" t="s">
        <v>240</v>
      </c>
      <c r="Y14" s="81" t="s">
        <v>240</v>
      </c>
      <c r="Z14" s="81" t="s">
        <v>236</v>
      </c>
      <c r="AA14" s="81"/>
      <c r="AB14" s="102"/>
    </row>
    <row r="15" s="63" customFormat="1" ht="120" hidden="1" customHeight="1" spans="1:28">
      <c r="A15" s="81">
        <v>4</v>
      </c>
      <c r="B15" s="81" t="s">
        <v>290</v>
      </c>
      <c r="C15" s="82" t="s">
        <v>315</v>
      </c>
      <c r="D15" s="81" t="s">
        <v>292</v>
      </c>
      <c r="E15" s="83" t="s">
        <v>316</v>
      </c>
      <c r="F15" s="84" t="s">
        <v>317</v>
      </c>
      <c r="G15" s="81" t="s">
        <v>279</v>
      </c>
      <c r="H15" s="81" t="s">
        <v>309</v>
      </c>
      <c r="I15" s="81" t="s">
        <v>318</v>
      </c>
      <c r="J15" s="81" t="s">
        <v>319</v>
      </c>
      <c r="K15" s="83" t="s">
        <v>320</v>
      </c>
      <c r="L15" s="83" t="s">
        <v>321</v>
      </c>
      <c r="M15" s="94">
        <v>142.751966</v>
      </c>
      <c r="N15" s="94">
        <v>142.751966</v>
      </c>
      <c r="O15" s="95"/>
      <c r="P15" s="95"/>
      <c r="Q15" s="81" t="s">
        <v>235</v>
      </c>
      <c r="R15" s="81" t="s">
        <v>236</v>
      </c>
      <c r="S15" s="81" t="s">
        <v>240</v>
      </c>
      <c r="T15" s="81" t="s">
        <v>240</v>
      </c>
      <c r="U15" s="81"/>
      <c r="V15" s="81" t="s">
        <v>284</v>
      </c>
      <c r="W15" s="82" t="s">
        <v>321</v>
      </c>
      <c r="X15" s="81" t="s">
        <v>240</v>
      </c>
      <c r="Y15" s="81" t="s">
        <v>240</v>
      </c>
      <c r="Z15" s="81" t="s">
        <v>236</v>
      </c>
      <c r="AA15" s="81"/>
      <c r="AB15" s="102"/>
    </row>
    <row r="16" s="63" customFormat="1" ht="120" hidden="1" customHeight="1" spans="1:28">
      <c r="A16" s="81">
        <v>5</v>
      </c>
      <c r="B16" s="81" t="s">
        <v>290</v>
      </c>
      <c r="C16" s="82" t="s">
        <v>322</v>
      </c>
      <c r="D16" s="81" t="s">
        <v>292</v>
      </c>
      <c r="E16" s="83" t="s">
        <v>316</v>
      </c>
      <c r="F16" s="84" t="s">
        <v>323</v>
      </c>
      <c r="G16" s="81" t="s">
        <v>279</v>
      </c>
      <c r="H16" s="85" t="s">
        <v>324</v>
      </c>
      <c r="I16" s="81" t="s">
        <v>325</v>
      </c>
      <c r="J16" s="81" t="s">
        <v>326</v>
      </c>
      <c r="K16" s="83" t="s">
        <v>327</v>
      </c>
      <c r="L16" s="83" t="s">
        <v>328</v>
      </c>
      <c r="M16" s="94">
        <v>198.55451</v>
      </c>
      <c r="N16" s="94">
        <v>198.55451</v>
      </c>
      <c r="O16" s="95"/>
      <c r="P16" s="95"/>
      <c r="Q16" s="81" t="s">
        <v>235</v>
      </c>
      <c r="R16" s="81" t="s">
        <v>236</v>
      </c>
      <c r="S16" s="81" t="s">
        <v>240</v>
      </c>
      <c r="T16" s="81" t="s">
        <v>240</v>
      </c>
      <c r="U16" s="81"/>
      <c r="V16" s="81" t="s">
        <v>284</v>
      </c>
      <c r="W16" s="82" t="s">
        <v>328</v>
      </c>
      <c r="X16" s="81" t="s">
        <v>240</v>
      </c>
      <c r="Y16" s="81" t="s">
        <v>240</v>
      </c>
      <c r="Z16" s="81" t="s">
        <v>236</v>
      </c>
      <c r="AA16" s="81"/>
      <c r="AB16" s="102"/>
    </row>
    <row r="17" s="63" customFormat="1" ht="120" hidden="1" customHeight="1" spans="1:28">
      <c r="A17" s="81">
        <v>6</v>
      </c>
      <c r="B17" s="81" t="s">
        <v>290</v>
      </c>
      <c r="C17" s="82" t="s">
        <v>329</v>
      </c>
      <c r="D17" s="81" t="s">
        <v>292</v>
      </c>
      <c r="E17" s="83" t="s">
        <v>316</v>
      </c>
      <c r="F17" s="84" t="s">
        <v>330</v>
      </c>
      <c r="G17" s="81" t="s">
        <v>279</v>
      </c>
      <c r="H17" s="85" t="s">
        <v>324</v>
      </c>
      <c r="I17" s="81" t="s">
        <v>331</v>
      </c>
      <c r="J17" s="81" t="s">
        <v>332</v>
      </c>
      <c r="K17" s="83" t="s">
        <v>333</v>
      </c>
      <c r="L17" s="83" t="s">
        <v>334</v>
      </c>
      <c r="M17" s="94">
        <v>294.121788</v>
      </c>
      <c r="N17" s="94">
        <v>294.121788</v>
      </c>
      <c r="O17" s="95"/>
      <c r="P17" s="95"/>
      <c r="Q17" s="81" t="s">
        <v>235</v>
      </c>
      <c r="R17" s="81" t="s">
        <v>236</v>
      </c>
      <c r="S17" s="81" t="s">
        <v>240</v>
      </c>
      <c r="T17" s="81" t="s">
        <v>240</v>
      </c>
      <c r="U17" s="81"/>
      <c r="V17" s="81" t="s">
        <v>284</v>
      </c>
      <c r="W17" s="82" t="s">
        <v>293</v>
      </c>
      <c r="X17" s="81" t="s">
        <v>240</v>
      </c>
      <c r="Y17" s="81" t="s">
        <v>240</v>
      </c>
      <c r="Z17" s="81" t="s">
        <v>236</v>
      </c>
      <c r="AA17" s="81"/>
      <c r="AB17" s="102"/>
    </row>
    <row r="18" s="63" customFormat="1" ht="120" hidden="1" customHeight="1" spans="1:28">
      <c r="A18" s="81">
        <v>7</v>
      </c>
      <c r="B18" s="81" t="s">
        <v>290</v>
      </c>
      <c r="C18" s="82" t="s">
        <v>335</v>
      </c>
      <c r="D18" s="81" t="s">
        <v>292</v>
      </c>
      <c r="E18" s="83" t="s">
        <v>336</v>
      </c>
      <c r="F18" s="84" t="s">
        <v>337</v>
      </c>
      <c r="G18" s="81" t="s">
        <v>279</v>
      </c>
      <c r="H18" s="85" t="s">
        <v>324</v>
      </c>
      <c r="I18" s="81" t="s">
        <v>338</v>
      </c>
      <c r="J18" s="81" t="s">
        <v>339</v>
      </c>
      <c r="K18" s="83" t="s">
        <v>340</v>
      </c>
      <c r="L18" s="83" t="s">
        <v>341</v>
      </c>
      <c r="M18" s="94">
        <v>44.640439</v>
      </c>
      <c r="N18" s="94">
        <v>44.640439</v>
      </c>
      <c r="O18" s="95"/>
      <c r="P18" s="95"/>
      <c r="Q18" s="81" t="s">
        <v>235</v>
      </c>
      <c r="R18" s="81" t="s">
        <v>236</v>
      </c>
      <c r="S18" s="81" t="s">
        <v>240</v>
      </c>
      <c r="T18" s="81" t="s">
        <v>240</v>
      </c>
      <c r="U18" s="81"/>
      <c r="V18" s="81" t="s">
        <v>284</v>
      </c>
      <c r="W18" s="82" t="s">
        <v>342</v>
      </c>
      <c r="X18" s="81" t="s">
        <v>240</v>
      </c>
      <c r="Y18" s="81" t="s">
        <v>240</v>
      </c>
      <c r="Z18" s="81" t="s">
        <v>236</v>
      </c>
      <c r="AA18" s="81"/>
      <c r="AB18" s="102"/>
    </row>
    <row r="19" s="63" customFormat="1" ht="120" hidden="1" customHeight="1" spans="1:28">
      <c r="A19" s="81">
        <v>8</v>
      </c>
      <c r="B19" s="81" t="s">
        <v>290</v>
      </c>
      <c r="C19" s="82" t="s">
        <v>343</v>
      </c>
      <c r="D19" s="81" t="s">
        <v>292</v>
      </c>
      <c r="E19" s="83" t="s">
        <v>316</v>
      </c>
      <c r="F19" s="84" t="s">
        <v>344</v>
      </c>
      <c r="G19" s="81" t="s">
        <v>279</v>
      </c>
      <c r="H19" s="81" t="s">
        <v>345</v>
      </c>
      <c r="I19" s="81" t="s">
        <v>346</v>
      </c>
      <c r="J19" s="81" t="s">
        <v>347</v>
      </c>
      <c r="K19" s="83" t="s">
        <v>320</v>
      </c>
      <c r="L19" s="83" t="s">
        <v>321</v>
      </c>
      <c r="M19" s="94">
        <v>38.388039</v>
      </c>
      <c r="N19" s="94">
        <v>38.388039</v>
      </c>
      <c r="O19" s="95"/>
      <c r="P19" s="95"/>
      <c r="Q19" s="81" t="s">
        <v>235</v>
      </c>
      <c r="R19" s="81" t="s">
        <v>236</v>
      </c>
      <c r="S19" s="81" t="s">
        <v>240</v>
      </c>
      <c r="T19" s="81" t="s">
        <v>240</v>
      </c>
      <c r="U19" s="81"/>
      <c r="V19" s="81" t="s">
        <v>284</v>
      </c>
      <c r="W19" s="82" t="s">
        <v>321</v>
      </c>
      <c r="X19" s="81" t="s">
        <v>240</v>
      </c>
      <c r="Y19" s="81" t="s">
        <v>240</v>
      </c>
      <c r="Z19" s="81" t="s">
        <v>236</v>
      </c>
      <c r="AA19" s="81"/>
      <c r="AB19" s="102"/>
    </row>
    <row r="20" s="63" customFormat="1" ht="120" hidden="1" customHeight="1" spans="1:28">
      <c r="A20" s="81">
        <v>9</v>
      </c>
      <c r="B20" s="81" t="s">
        <v>290</v>
      </c>
      <c r="C20" s="82" t="s">
        <v>348</v>
      </c>
      <c r="D20" s="81" t="s">
        <v>292</v>
      </c>
      <c r="E20" s="83" t="s">
        <v>316</v>
      </c>
      <c r="F20" s="84" t="s">
        <v>349</v>
      </c>
      <c r="G20" s="81" t="s">
        <v>279</v>
      </c>
      <c r="H20" s="81" t="s">
        <v>345</v>
      </c>
      <c r="I20" s="81" t="s">
        <v>350</v>
      </c>
      <c r="J20" s="81" t="s">
        <v>282</v>
      </c>
      <c r="K20" s="83" t="s">
        <v>351</v>
      </c>
      <c r="L20" s="83" t="s">
        <v>352</v>
      </c>
      <c r="M20" s="94">
        <v>97.073152</v>
      </c>
      <c r="N20" s="94">
        <v>97.073152</v>
      </c>
      <c r="O20" s="96"/>
      <c r="P20" s="95"/>
      <c r="Q20" s="81" t="s">
        <v>235</v>
      </c>
      <c r="R20" s="81" t="s">
        <v>236</v>
      </c>
      <c r="S20" s="81" t="s">
        <v>240</v>
      </c>
      <c r="T20" s="81" t="s">
        <v>240</v>
      </c>
      <c r="U20" s="81"/>
      <c r="V20" s="81" t="s">
        <v>284</v>
      </c>
      <c r="W20" s="82" t="s">
        <v>314</v>
      </c>
      <c r="X20" s="81" t="s">
        <v>240</v>
      </c>
      <c r="Y20" s="81" t="s">
        <v>240</v>
      </c>
      <c r="Z20" s="81" t="s">
        <v>236</v>
      </c>
      <c r="AA20" s="81"/>
      <c r="AB20" s="102"/>
    </row>
    <row r="21" hidden="1"/>
    <row r="22" hidden="1"/>
  </sheetData>
  <mergeCells count="20">
    <mergeCell ref="A1:AB1"/>
    <mergeCell ref="G2:H2"/>
    <mergeCell ref="M2:O2"/>
    <mergeCell ref="R2:U2"/>
    <mergeCell ref="V2:W2"/>
    <mergeCell ref="X2:Y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P2:P3"/>
    <mergeCell ref="Z2:Z3"/>
    <mergeCell ref="AA2:AA3"/>
    <mergeCell ref="AB2:AB3"/>
  </mergeCells>
  <dataValidations count="4">
    <dataValidation type="list" allowBlank="1" showInputMessage="1" showErrorMessage="1" sqref="H16:H18">
      <formula1>INDIRECT($I16)</formula1>
    </dataValidation>
    <dataValidation type="list" allowBlank="1" showInputMessage="1" showErrorMessage="1" sqref="G12:G20">
      <formula1>项目大类</formula1>
    </dataValidation>
    <dataValidation type="list" allowBlank="1" showInputMessage="1" showErrorMessage="1" sqref="H12:H15 H19:H20">
      <formula1>INDIRECT($J12)</formula1>
    </dataValidation>
    <dataValidation type="list" allowBlank="1" showInputMessage="1" showErrorMessage="1" sqref="Z4:Z20">
      <formula1>"是,否,业主单位即资产所有者，无需移交"</formula1>
    </dataValidation>
  </dataValidations>
  <printOptions horizontalCentered="1"/>
  <pageMargins left="0.786805555555556" right="0.590277777777778" top="0.747916666666667" bottom="0.590277777777778" header="0.313888888888889" footer="0.313888888888889"/>
  <pageSetup paperSize="8" scale="48" fitToHeight="0" orientation="landscape" horizontalDpi="600"/>
  <headerFooter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W109"/>
  <sheetViews>
    <sheetView workbookViewId="0">
      <pane xSplit="13" ySplit="11" topLeftCell="N15" activePane="bottomRight" state="frozen"/>
      <selection/>
      <selection pane="topRight"/>
      <selection pane="bottomLeft"/>
      <selection pane="bottomRight" activeCell="C85" sqref="C85"/>
    </sheetView>
  </sheetViews>
  <sheetFormatPr defaultColWidth="9" defaultRowHeight="13.5"/>
  <cols>
    <col min="1" max="1" width="4.25833333333333" customWidth="1"/>
    <col min="2" max="2" width="32.1333333333333" customWidth="1"/>
    <col min="3" max="3" width="14.3833333333333" customWidth="1"/>
    <col min="4" max="4" width="19" customWidth="1"/>
    <col min="5" max="7" width="17.1333333333333" customWidth="1"/>
    <col min="8" max="11" width="15.2583333333333" customWidth="1"/>
    <col min="12" max="12" width="8.25833333333333" customWidth="1"/>
    <col min="13" max="13" width="8.38333333333333" customWidth="1"/>
    <col min="14" max="14" width="8.88333333333333" customWidth="1"/>
    <col min="15" max="15" width="8" customWidth="1"/>
    <col min="16" max="16" width="8.75833333333333" customWidth="1"/>
    <col min="17" max="17" width="8.13333333333333" customWidth="1"/>
    <col min="18" max="18" width="8.63333333333333" customWidth="1"/>
    <col min="19" max="19" width="10.6333333333333" customWidth="1"/>
    <col min="20" max="20" width="7.88333333333333" customWidth="1"/>
    <col min="21" max="21" width="8.5" customWidth="1"/>
    <col min="22" max="22" width="7.25833333333333" customWidth="1"/>
    <col min="23" max="23" width="9.63333333333333" customWidth="1"/>
  </cols>
  <sheetData>
    <row r="1" ht="26.25" customHeight="1" spans="1:8">
      <c r="A1" s="2" t="s">
        <v>77</v>
      </c>
      <c r="B1" s="2"/>
      <c r="C1" s="2"/>
      <c r="H1" s="23"/>
    </row>
    <row r="2" ht="26.25" customHeight="1" spans="1:23">
      <c r="A2" s="3" t="s">
        <v>353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26.25" customHeight="1" spans="1:23">
      <c r="A3" s="4" t="s">
        <v>58</v>
      </c>
      <c r="B3" s="4"/>
      <c r="C3" s="5"/>
      <c r="D3" s="5" t="s">
        <v>59</v>
      </c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57" t="s">
        <v>60</v>
      </c>
      <c r="U3" s="57"/>
      <c r="V3" s="57"/>
      <c r="W3" s="57"/>
    </row>
    <row r="4" ht="19.5" customHeight="1" spans="1:23">
      <c r="A4" s="6" t="s">
        <v>3</v>
      </c>
      <c r="B4" s="6" t="s">
        <v>4</v>
      </c>
      <c r="C4" s="6" t="s">
        <v>5</v>
      </c>
      <c r="D4" s="6" t="s">
        <v>6</v>
      </c>
      <c r="E4" s="6" t="s">
        <v>79</v>
      </c>
      <c r="F4" s="6" t="s">
        <v>7</v>
      </c>
      <c r="G4" s="6" t="s">
        <v>80</v>
      </c>
      <c r="H4" s="7" t="s">
        <v>8</v>
      </c>
      <c r="I4" s="16"/>
      <c r="J4" s="16"/>
      <c r="K4" s="16"/>
      <c r="L4" s="16"/>
      <c r="M4" s="16"/>
      <c r="N4" s="20"/>
      <c r="O4" s="56" t="s">
        <v>9</v>
      </c>
      <c r="P4" s="56" t="s">
        <v>10</v>
      </c>
      <c r="Q4" s="6" t="s">
        <v>11</v>
      </c>
      <c r="R4" s="6" t="s">
        <v>12</v>
      </c>
      <c r="S4" s="17" t="s">
        <v>13</v>
      </c>
      <c r="T4" s="16"/>
      <c r="U4" s="20"/>
      <c r="V4" s="6" t="s">
        <v>14</v>
      </c>
      <c r="W4" s="6" t="s">
        <v>15</v>
      </c>
    </row>
    <row r="5" ht="19.5" customHeight="1" spans="1:23">
      <c r="A5" s="8"/>
      <c r="B5" s="8"/>
      <c r="C5" s="8"/>
      <c r="D5" s="8"/>
      <c r="E5" s="8"/>
      <c r="F5" s="8"/>
      <c r="G5" s="8"/>
      <c r="H5" s="9" t="s">
        <v>16</v>
      </c>
      <c r="I5" s="17" t="s">
        <v>17</v>
      </c>
      <c r="J5" s="16"/>
      <c r="K5" s="16"/>
      <c r="L5" s="16"/>
      <c r="M5" s="16"/>
      <c r="N5" s="20"/>
      <c r="O5" s="8"/>
      <c r="P5" s="8"/>
      <c r="Q5" s="8"/>
      <c r="R5" s="8"/>
      <c r="S5" s="6" t="s">
        <v>18</v>
      </c>
      <c r="T5" s="6" t="s">
        <v>19</v>
      </c>
      <c r="U5" s="6" t="s">
        <v>20</v>
      </c>
      <c r="V5" s="8"/>
      <c r="W5" s="8"/>
    </row>
    <row r="6" ht="19.5" customHeight="1" spans="1:23">
      <c r="A6" s="8"/>
      <c r="B6" s="8"/>
      <c r="C6" s="8"/>
      <c r="D6" s="8"/>
      <c r="E6" s="8"/>
      <c r="F6" s="8"/>
      <c r="G6" s="8"/>
      <c r="H6" s="10"/>
      <c r="I6" s="9" t="s">
        <v>81</v>
      </c>
      <c r="J6" s="10"/>
      <c r="K6" s="10"/>
      <c r="L6" s="9" t="s">
        <v>22</v>
      </c>
      <c r="M6" s="9" t="s">
        <v>82</v>
      </c>
      <c r="N6" s="9" t="s">
        <v>83</v>
      </c>
      <c r="O6" s="8"/>
      <c r="P6" s="8"/>
      <c r="Q6" s="8"/>
      <c r="R6" s="8"/>
      <c r="S6" s="8"/>
      <c r="T6" s="8"/>
      <c r="U6" s="8"/>
      <c r="V6" s="8"/>
      <c r="W6" s="8"/>
    </row>
    <row r="7" ht="49.9" customHeight="1" spans="1:23">
      <c r="A7" s="11"/>
      <c r="B7" s="11"/>
      <c r="C7" s="11"/>
      <c r="D7" s="11"/>
      <c r="E7" s="11"/>
      <c r="F7" s="11"/>
      <c r="G7" s="11"/>
      <c r="H7" s="10"/>
      <c r="I7" s="9" t="s">
        <v>25</v>
      </c>
      <c r="J7" s="9" t="s">
        <v>26</v>
      </c>
      <c r="K7" s="9" t="s">
        <v>27</v>
      </c>
      <c r="L7" s="9"/>
      <c r="M7" s="9"/>
      <c r="N7" s="9"/>
      <c r="O7" s="11"/>
      <c r="P7" s="11"/>
      <c r="Q7" s="11"/>
      <c r="R7" s="11"/>
      <c r="S7" s="11"/>
      <c r="T7" s="11"/>
      <c r="U7" s="11"/>
      <c r="V7" s="11"/>
      <c r="W7" s="11"/>
    </row>
    <row r="8" s="1" customFormat="1" ht="24" customHeight="1" spans="1:23">
      <c r="A8" s="17" t="s">
        <v>16</v>
      </c>
      <c r="B8" s="20"/>
      <c r="C8" s="9"/>
      <c r="D8" s="9"/>
      <c r="E8" s="9"/>
      <c r="F8" s="9"/>
      <c r="G8" s="9"/>
      <c r="H8" s="12">
        <f t="shared" ref="H8:H10" si="0">I8+J8+K8</f>
        <v>46779733</v>
      </c>
      <c r="I8" s="12">
        <f t="shared" ref="I8:K8" si="1">I9+I38+I65</f>
        <v>20254404</v>
      </c>
      <c r="J8" s="12">
        <f t="shared" si="1"/>
        <v>9523329</v>
      </c>
      <c r="K8" s="12">
        <f t="shared" si="1"/>
        <v>17002000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="1" customFormat="1" ht="24" customHeight="1" spans="1:23">
      <c r="A9" s="9" t="s">
        <v>28</v>
      </c>
      <c r="B9" s="9" t="s">
        <v>29</v>
      </c>
      <c r="C9" s="9"/>
      <c r="D9" s="9"/>
      <c r="E9" s="9"/>
      <c r="F9" s="9"/>
      <c r="G9" s="9"/>
      <c r="H9" s="12">
        <f t="shared" si="0"/>
        <v>31226792.5</v>
      </c>
      <c r="I9" s="12">
        <f t="shared" ref="I9:K9" si="2">SUM(I10:I37)</f>
        <v>16623601</v>
      </c>
      <c r="J9" s="12">
        <f t="shared" si="2"/>
        <v>5102173.43</v>
      </c>
      <c r="K9" s="12">
        <f t="shared" si="2"/>
        <v>9501018.07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4" customHeight="1" spans="1:23">
      <c r="A10" s="13">
        <v>1</v>
      </c>
      <c r="B10" s="13" t="s">
        <v>354</v>
      </c>
      <c r="C10" s="13" t="s">
        <v>85</v>
      </c>
      <c r="D10" s="13"/>
      <c r="E10" s="13"/>
      <c r="F10" s="21" t="s">
        <v>355</v>
      </c>
      <c r="G10" s="21" t="s">
        <v>356</v>
      </c>
      <c r="H10" s="22">
        <f t="shared" si="0"/>
        <v>190.42</v>
      </c>
      <c r="I10" s="22">
        <v>190.42</v>
      </c>
      <c r="J10" s="22"/>
      <c r="K10" s="22"/>
      <c r="L10" s="21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ht="24" customHeight="1" spans="1:23">
      <c r="A11" s="13">
        <v>2</v>
      </c>
      <c r="B11" s="13" t="s">
        <v>357</v>
      </c>
      <c r="C11" s="13" t="s">
        <v>85</v>
      </c>
      <c r="D11" s="13"/>
      <c r="E11" s="13"/>
      <c r="F11" s="21" t="s">
        <v>355</v>
      </c>
      <c r="G11" s="21" t="s">
        <v>356</v>
      </c>
      <c r="H11" s="22">
        <f t="shared" ref="H11:H38" si="3">I11+J11+K11</f>
        <v>103.8</v>
      </c>
      <c r="I11" s="22">
        <v>103.8</v>
      </c>
      <c r="J11" s="22"/>
      <c r="K11" s="22"/>
      <c r="L11" s="21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ht="24" customHeight="1" spans="1:23">
      <c r="A12" s="13">
        <v>3</v>
      </c>
      <c r="B12" s="13" t="s">
        <v>358</v>
      </c>
      <c r="C12" s="13" t="s">
        <v>85</v>
      </c>
      <c r="D12" s="13"/>
      <c r="E12" s="13"/>
      <c r="F12" s="21" t="s">
        <v>355</v>
      </c>
      <c r="G12" s="21" t="s">
        <v>356</v>
      </c>
      <c r="H12" s="22">
        <f t="shared" si="3"/>
        <v>218.15</v>
      </c>
      <c r="I12" s="22">
        <v>218.15</v>
      </c>
      <c r="J12" s="22"/>
      <c r="K12" s="22"/>
      <c r="L12" s="21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ht="24" customHeight="1" spans="1:23">
      <c r="A13" s="13">
        <v>4</v>
      </c>
      <c r="B13" s="13" t="s">
        <v>359</v>
      </c>
      <c r="C13" s="13" t="s">
        <v>85</v>
      </c>
      <c r="D13" s="13"/>
      <c r="E13" s="13"/>
      <c r="F13" s="21" t="s">
        <v>355</v>
      </c>
      <c r="G13" s="21" t="s">
        <v>356</v>
      </c>
      <c r="H13" s="22">
        <f t="shared" si="3"/>
        <v>455.06</v>
      </c>
      <c r="I13" s="22">
        <v>323.63</v>
      </c>
      <c r="J13" s="22">
        <v>131.43</v>
      </c>
      <c r="K13" s="22"/>
      <c r="L13" s="21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ht="24" customHeight="1" spans="1:23">
      <c r="A14" s="13">
        <v>5</v>
      </c>
      <c r="B14" s="13" t="s">
        <v>360</v>
      </c>
      <c r="C14" s="13" t="s">
        <v>89</v>
      </c>
      <c r="D14" s="13"/>
      <c r="E14" s="13"/>
      <c r="F14" s="13" t="s">
        <v>355</v>
      </c>
      <c r="G14" s="13" t="s">
        <v>361</v>
      </c>
      <c r="H14" s="14">
        <f t="shared" si="3"/>
        <v>821</v>
      </c>
      <c r="I14" s="14">
        <v>821</v>
      </c>
      <c r="J14" s="14"/>
      <c r="K14" s="14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ht="24" customHeight="1" spans="1:23">
      <c r="A15" s="13">
        <v>6</v>
      </c>
      <c r="B15" s="13" t="s">
        <v>362</v>
      </c>
      <c r="C15" s="13" t="s">
        <v>89</v>
      </c>
      <c r="D15" s="13"/>
      <c r="E15" s="13"/>
      <c r="F15" s="13" t="s">
        <v>355</v>
      </c>
      <c r="G15" s="13" t="s">
        <v>361</v>
      </c>
      <c r="H15" s="14">
        <f t="shared" si="3"/>
        <v>300</v>
      </c>
      <c r="I15" s="14"/>
      <c r="J15" s="14">
        <v>300</v>
      </c>
      <c r="K15" s="14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ht="24" customHeight="1" spans="1:23">
      <c r="A16" s="13">
        <v>7</v>
      </c>
      <c r="B16" s="13" t="s">
        <v>363</v>
      </c>
      <c r="C16" s="13" t="s">
        <v>89</v>
      </c>
      <c r="D16" s="13"/>
      <c r="E16" s="13"/>
      <c r="F16" s="13" t="s">
        <v>364</v>
      </c>
      <c r="G16" s="13" t="s">
        <v>365</v>
      </c>
      <c r="H16" s="14">
        <f t="shared" si="3"/>
        <v>50</v>
      </c>
      <c r="I16" s="14">
        <v>15</v>
      </c>
      <c r="J16" s="14">
        <v>35</v>
      </c>
      <c r="K16" s="14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ht="24" customHeight="1" spans="1:23">
      <c r="A17" s="13">
        <v>8</v>
      </c>
      <c r="B17" s="13" t="s">
        <v>366</v>
      </c>
      <c r="C17" s="13" t="s">
        <v>106</v>
      </c>
      <c r="D17" s="13"/>
      <c r="E17" s="13"/>
      <c r="F17" s="13"/>
      <c r="G17" s="13" t="s">
        <v>367</v>
      </c>
      <c r="H17" s="14">
        <f t="shared" si="3"/>
        <v>1000</v>
      </c>
      <c r="I17" s="14">
        <v>132</v>
      </c>
      <c r="J17" s="14">
        <v>380</v>
      </c>
      <c r="K17" s="14">
        <v>488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ht="24" customHeight="1" spans="1:23">
      <c r="A18" s="13">
        <v>9</v>
      </c>
      <c r="B18" s="13" t="s">
        <v>368</v>
      </c>
      <c r="C18" s="13" t="s">
        <v>106</v>
      </c>
      <c r="D18" s="13"/>
      <c r="E18" s="13"/>
      <c r="F18" s="13"/>
      <c r="G18" s="13"/>
      <c r="H18" s="14">
        <f t="shared" si="3"/>
        <v>400</v>
      </c>
      <c r="I18" s="14"/>
      <c r="J18" s="14"/>
      <c r="K18" s="14">
        <v>400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ht="24" customHeight="1" spans="1:23">
      <c r="A19" s="13">
        <v>10</v>
      </c>
      <c r="B19" s="13" t="s">
        <v>369</v>
      </c>
      <c r="C19" s="13" t="s">
        <v>106</v>
      </c>
      <c r="D19" s="13"/>
      <c r="E19" s="13"/>
      <c r="F19" s="13"/>
      <c r="G19" s="13" t="s">
        <v>355</v>
      </c>
      <c r="H19" s="14">
        <f t="shared" si="3"/>
        <v>431</v>
      </c>
      <c r="I19" s="14"/>
      <c r="J19" s="14"/>
      <c r="K19" s="14">
        <v>431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ht="24" customHeight="1" spans="1:23">
      <c r="A20" s="13">
        <v>11</v>
      </c>
      <c r="B20" s="13" t="s">
        <v>370</v>
      </c>
      <c r="C20" s="13" t="s">
        <v>106</v>
      </c>
      <c r="D20" s="13"/>
      <c r="E20" s="13"/>
      <c r="F20" s="13"/>
      <c r="G20" s="13"/>
      <c r="H20" s="14">
        <f t="shared" si="3"/>
        <v>236.61</v>
      </c>
      <c r="I20" s="14">
        <v>22</v>
      </c>
      <c r="J20" s="14">
        <v>72</v>
      </c>
      <c r="K20" s="14">
        <v>142.61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ht="24" customHeight="1" spans="1:23">
      <c r="A21" s="13">
        <v>12</v>
      </c>
      <c r="B21" s="13" t="s">
        <v>371</v>
      </c>
      <c r="C21" s="13" t="s">
        <v>106</v>
      </c>
      <c r="D21" s="13"/>
      <c r="E21" s="13"/>
      <c r="F21" s="13"/>
      <c r="G21" s="13"/>
      <c r="H21" s="14">
        <f t="shared" si="3"/>
        <v>13.9</v>
      </c>
      <c r="I21" s="14"/>
      <c r="J21" s="14"/>
      <c r="K21" s="14">
        <v>13.9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ht="24" customHeight="1" spans="1:23">
      <c r="A22" s="13">
        <v>13</v>
      </c>
      <c r="B22" s="13" t="s">
        <v>372</v>
      </c>
      <c r="C22" s="13" t="s">
        <v>117</v>
      </c>
      <c r="D22" s="13"/>
      <c r="E22" s="13"/>
      <c r="F22" s="13"/>
      <c r="G22" s="13"/>
      <c r="H22" s="14">
        <f t="shared" si="3"/>
        <v>7.2</v>
      </c>
      <c r="I22" s="14"/>
      <c r="J22" s="14">
        <v>7.2</v>
      </c>
      <c r="K22" s="14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ht="24" customHeight="1" spans="1:23">
      <c r="A23" s="13">
        <v>14</v>
      </c>
      <c r="B23" s="13" t="s">
        <v>373</v>
      </c>
      <c r="C23" s="13" t="s">
        <v>117</v>
      </c>
      <c r="D23" s="13"/>
      <c r="E23" s="13"/>
      <c r="F23" s="13"/>
      <c r="G23" s="13"/>
      <c r="H23" s="14">
        <f t="shared" si="3"/>
        <v>97.8</v>
      </c>
      <c r="I23" s="14"/>
      <c r="J23" s="14">
        <v>97.8</v>
      </c>
      <c r="K23" s="14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ht="24" customHeight="1" spans="1:23">
      <c r="A24" s="13">
        <v>15</v>
      </c>
      <c r="B24" s="13" t="s">
        <v>374</v>
      </c>
      <c r="C24" s="13" t="s">
        <v>117</v>
      </c>
      <c r="D24" s="13"/>
      <c r="E24" s="13"/>
      <c r="F24" s="13"/>
      <c r="G24" s="13"/>
      <c r="H24" s="14">
        <f t="shared" si="3"/>
        <v>720</v>
      </c>
      <c r="I24" s="14"/>
      <c r="J24" s="14">
        <v>720</v>
      </c>
      <c r="K24" s="14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ht="24" customHeight="1" spans="1:23">
      <c r="A25" s="13">
        <v>16</v>
      </c>
      <c r="B25" s="13" t="s">
        <v>375</v>
      </c>
      <c r="C25" s="13" t="s">
        <v>117</v>
      </c>
      <c r="D25" s="13"/>
      <c r="E25" s="13"/>
      <c r="F25" s="13"/>
      <c r="G25" s="13"/>
      <c r="H25" s="14">
        <f t="shared" si="3"/>
        <v>1059</v>
      </c>
      <c r="I25" s="14">
        <v>964</v>
      </c>
      <c r="J25" s="14">
        <v>95</v>
      </c>
      <c r="K25" s="14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ht="24" customHeight="1" spans="1:23">
      <c r="A26" s="13">
        <v>17</v>
      </c>
      <c r="B26" s="13" t="s">
        <v>376</v>
      </c>
      <c r="C26" s="13" t="s">
        <v>117</v>
      </c>
      <c r="D26" s="13"/>
      <c r="E26" s="13"/>
      <c r="F26" s="13"/>
      <c r="G26" s="13"/>
      <c r="H26" s="14">
        <f t="shared" si="3"/>
        <v>50</v>
      </c>
      <c r="I26" s="14"/>
      <c r="J26" s="14">
        <v>50</v>
      </c>
      <c r="K26" s="14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ht="24" customHeight="1" spans="1:23">
      <c r="A27" s="13">
        <v>18</v>
      </c>
      <c r="B27" s="13" t="s">
        <v>377</v>
      </c>
      <c r="C27" s="13" t="s">
        <v>117</v>
      </c>
      <c r="D27" s="13"/>
      <c r="E27" s="13"/>
      <c r="F27" s="13"/>
      <c r="G27" s="13"/>
      <c r="H27" s="14">
        <f t="shared" si="3"/>
        <v>756</v>
      </c>
      <c r="I27" s="14">
        <v>756</v>
      </c>
      <c r="J27" s="14"/>
      <c r="K27" s="14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ht="24" customHeight="1" spans="1:23">
      <c r="A28" s="13">
        <v>19</v>
      </c>
      <c r="B28" s="13" t="s">
        <v>120</v>
      </c>
      <c r="C28" s="13" t="s">
        <v>117</v>
      </c>
      <c r="D28" s="13"/>
      <c r="E28" s="13"/>
      <c r="F28" s="13"/>
      <c r="G28" s="13"/>
      <c r="H28" s="14">
        <f t="shared" si="3"/>
        <v>340</v>
      </c>
      <c r="I28" s="14">
        <v>55</v>
      </c>
      <c r="J28" s="14">
        <v>285</v>
      </c>
      <c r="K28" s="14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ht="32.25" customHeight="1" spans="1:23">
      <c r="A29" s="13">
        <v>20</v>
      </c>
      <c r="B29" s="13" t="s">
        <v>378</v>
      </c>
      <c r="C29" s="13" t="s">
        <v>94</v>
      </c>
      <c r="D29" s="13"/>
      <c r="E29" s="13"/>
      <c r="F29" s="13" t="s">
        <v>355</v>
      </c>
      <c r="G29" s="13" t="s">
        <v>379</v>
      </c>
      <c r="H29" s="14">
        <f t="shared" si="3"/>
        <v>1760000</v>
      </c>
      <c r="I29" s="14">
        <v>0</v>
      </c>
      <c r="J29" s="14">
        <v>0</v>
      </c>
      <c r="K29" s="14">
        <v>1760000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ht="33" customHeight="1" spans="1:23">
      <c r="A30" s="13">
        <v>21</v>
      </c>
      <c r="B30" s="13" t="s">
        <v>380</v>
      </c>
      <c r="C30" s="13" t="s">
        <v>94</v>
      </c>
      <c r="D30" s="13"/>
      <c r="E30" s="13"/>
      <c r="F30" s="13" t="s">
        <v>355</v>
      </c>
      <c r="G30" s="13" t="s">
        <v>381</v>
      </c>
      <c r="H30" s="14">
        <f t="shared" si="3"/>
        <v>859542.56</v>
      </c>
      <c r="I30" s="14">
        <v>0</v>
      </c>
      <c r="J30" s="14">
        <v>0</v>
      </c>
      <c r="K30" s="14">
        <v>859542.56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ht="24" customHeight="1" spans="1:23">
      <c r="A31" s="13">
        <v>22</v>
      </c>
      <c r="B31" s="13" t="s">
        <v>382</v>
      </c>
      <c r="C31" s="13" t="s">
        <v>94</v>
      </c>
      <c r="D31" s="13"/>
      <c r="E31" s="13"/>
      <c r="F31" s="13" t="s">
        <v>355</v>
      </c>
      <c r="G31" s="13" t="s">
        <v>379</v>
      </c>
      <c r="H31" s="14">
        <f t="shared" si="3"/>
        <v>3120000</v>
      </c>
      <c r="I31" s="14">
        <v>1190000</v>
      </c>
      <c r="J31" s="14">
        <v>0</v>
      </c>
      <c r="K31" s="14">
        <v>1930000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ht="27.75" customHeight="1" spans="1:23">
      <c r="A32" s="13">
        <v>23</v>
      </c>
      <c r="B32" s="13" t="s">
        <v>383</v>
      </c>
      <c r="C32" s="13" t="s">
        <v>94</v>
      </c>
      <c r="D32" s="13"/>
      <c r="E32" s="13"/>
      <c r="F32" s="13" t="s">
        <v>355</v>
      </c>
      <c r="G32" s="13" t="s">
        <v>379</v>
      </c>
      <c r="H32" s="14">
        <f t="shared" si="3"/>
        <v>1500000</v>
      </c>
      <c r="I32" s="14">
        <v>1500000</v>
      </c>
      <c r="J32" s="14">
        <v>0</v>
      </c>
      <c r="K32" s="14">
        <v>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ht="24" customHeight="1" spans="1:23">
      <c r="A33" s="13">
        <v>24</v>
      </c>
      <c r="B33" s="13" t="s">
        <v>384</v>
      </c>
      <c r="C33" s="13" t="s">
        <v>94</v>
      </c>
      <c r="D33" s="13"/>
      <c r="E33" s="13"/>
      <c r="F33" s="13" t="s">
        <v>355</v>
      </c>
      <c r="G33" s="13" t="s">
        <v>379</v>
      </c>
      <c r="H33" s="14">
        <f t="shared" si="3"/>
        <v>3000000</v>
      </c>
      <c r="I33" s="14">
        <v>670000</v>
      </c>
      <c r="J33" s="14">
        <v>2330000</v>
      </c>
      <c r="K33" s="14">
        <v>0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ht="29.25" customHeight="1" spans="1:23">
      <c r="A34" s="25">
        <v>25</v>
      </c>
      <c r="B34" s="25" t="s">
        <v>385</v>
      </c>
      <c r="C34" s="25" t="s">
        <v>94</v>
      </c>
      <c r="D34" s="13"/>
      <c r="E34" s="13"/>
      <c r="F34" s="13" t="s">
        <v>355</v>
      </c>
      <c r="G34" s="13" t="s">
        <v>379</v>
      </c>
      <c r="H34" s="14">
        <f t="shared" si="3"/>
        <v>15000000</v>
      </c>
      <c r="I34" s="14">
        <f>6620000+5930000</f>
        <v>12550000</v>
      </c>
      <c r="J34" s="14">
        <v>2450000</v>
      </c>
      <c r="K34" s="14">
        <v>0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ht="24" customHeight="1" spans="1:23">
      <c r="A35" s="13">
        <v>26</v>
      </c>
      <c r="B35" s="13" t="s">
        <v>386</v>
      </c>
      <c r="C35" s="13" t="s">
        <v>94</v>
      </c>
      <c r="D35" s="13"/>
      <c r="E35" s="13"/>
      <c r="F35" s="13" t="s">
        <v>355</v>
      </c>
      <c r="G35" s="13" t="s">
        <v>387</v>
      </c>
      <c r="H35" s="14">
        <f t="shared" si="3"/>
        <v>2950000</v>
      </c>
      <c r="I35" s="14"/>
      <c r="J35" s="14"/>
      <c r="K35" s="14">
        <v>2950000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ht="40.5" customHeight="1" spans="1:23">
      <c r="A36" s="13">
        <v>27</v>
      </c>
      <c r="B36" s="13" t="s">
        <v>388</v>
      </c>
      <c r="C36" s="13" t="s">
        <v>94</v>
      </c>
      <c r="D36" s="13"/>
      <c r="E36" s="13"/>
      <c r="F36" s="13" t="s">
        <v>389</v>
      </c>
      <c r="G36" s="13" t="s">
        <v>390</v>
      </c>
      <c r="H36" s="14">
        <f t="shared" si="3"/>
        <v>2730000</v>
      </c>
      <c r="I36" s="14">
        <v>710000</v>
      </c>
      <c r="J36" s="14">
        <v>20000</v>
      </c>
      <c r="K36" s="14">
        <v>2000000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ht="30" customHeight="1" spans="1:23">
      <c r="A37" s="13">
        <v>28</v>
      </c>
      <c r="B37" s="13" t="s">
        <v>391</v>
      </c>
      <c r="C37" s="13" t="s">
        <v>94</v>
      </c>
      <c r="D37" s="13"/>
      <c r="E37" s="13"/>
      <c r="F37" s="13" t="s">
        <v>389</v>
      </c>
      <c r="G37" s="13" t="s">
        <v>392</v>
      </c>
      <c r="H37" s="14">
        <f t="shared" si="3"/>
        <v>300000</v>
      </c>
      <c r="I37" s="14"/>
      <c r="J37" s="14">
        <v>300000</v>
      </c>
      <c r="K37" s="14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="1" customFormat="1" ht="24" customHeight="1" spans="1:23">
      <c r="A38" s="9" t="s">
        <v>31</v>
      </c>
      <c r="B38" s="9" t="s">
        <v>32</v>
      </c>
      <c r="C38" s="9"/>
      <c r="D38" s="9"/>
      <c r="E38" s="9"/>
      <c r="F38" s="9"/>
      <c r="G38" s="13" t="s">
        <v>379</v>
      </c>
      <c r="H38" s="12">
        <f t="shared" si="3"/>
        <v>1300297.1</v>
      </c>
      <c r="I38" s="12">
        <f t="shared" ref="I38:K38" si="4">SUM(I39:I40)</f>
        <v>450146.6</v>
      </c>
      <c r="J38" s="12">
        <f t="shared" si="4"/>
        <v>850150.5</v>
      </c>
      <c r="K38" s="12">
        <f t="shared" si="4"/>
        <v>0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ht="24" customHeight="1" spans="1:23">
      <c r="A39" s="13">
        <v>1</v>
      </c>
      <c r="B39" s="13" t="s">
        <v>393</v>
      </c>
      <c r="C39" s="13" t="s">
        <v>117</v>
      </c>
      <c r="D39" s="13"/>
      <c r="E39" s="13"/>
      <c r="F39" s="13"/>
      <c r="G39" s="13"/>
      <c r="H39" s="14">
        <f t="shared" ref="H39:H40" si="5">I39+J39+K39</f>
        <v>297.1</v>
      </c>
      <c r="I39" s="14">
        <v>146.6</v>
      </c>
      <c r="J39" s="14">
        <v>150.5</v>
      </c>
      <c r="K39" s="14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ht="33.75" customHeight="1" spans="1:23">
      <c r="A40" s="13">
        <v>2</v>
      </c>
      <c r="B40" s="13" t="s">
        <v>394</v>
      </c>
      <c r="C40" s="13" t="s">
        <v>94</v>
      </c>
      <c r="D40" s="13"/>
      <c r="E40" s="13"/>
      <c r="F40" s="13" t="s">
        <v>389</v>
      </c>
      <c r="G40" s="13" t="s">
        <v>395</v>
      </c>
      <c r="H40" s="14">
        <f t="shared" si="5"/>
        <v>1300000</v>
      </c>
      <c r="I40" s="14">
        <v>450000</v>
      </c>
      <c r="J40" s="14">
        <v>850000</v>
      </c>
      <c r="K40" s="14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ht="24" customHeight="1" spans="1:23">
      <c r="A41" s="13" t="s">
        <v>33</v>
      </c>
      <c r="B41" s="13" t="s">
        <v>34</v>
      </c>
      <c r="C41" s="13"/>
      <c r="D41" s="13"/>
      <c r="E41" s="13"/>
      <c r="F41" s="13"/>
      <c r="G41" s="13"/>
      <c r="H41" s="14"/>
      <c r="I41" s="14"/>
      <c r="J41" s="14"/>
      <c r="K41" s="14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ht="24" customHeight="1" spans="1:23">
      <c r="A42" s="13">
        <v>1</v>
      </c>
      <c r="B42" s="13"/>
      <c r="C42" s="13"/>
      <c r="D42" s="13"/>
      <c r="E42" s="13"/>
      <c r="F42" s="13"/>
      <c r="G42" s="13"/>
      <c r="H42" s="14"/>
      <c r="I42" s="14"/>
      <c r="J42" s="14"/>
      <c r="K42" s="14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ht="24" customHeight="1" spans="1:23">
      <c r="A43" s="13" t="s">
        <v>30</v>
      </c>
      <c r="B43" s="13"/>
      <c r="C43" s="13"/>
      <c r="D43" s="13"/>
      <c r="E43" s="13"/>
      <c r="F43" s="13"/>
      <c r="G43" s="13"/>
      <c r="H43" s="14"/>
      <c r="I43" s="14"/>
      <c r="J43" s="14"/>
      <c r="K43" s="14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ht="24" customHeight="1" spans="1:23">
      <c r="A44" s="13" t="s">
        <v>35</v>
      </c>
      <c r="B44" s="13" t="s">
        <v>36</v>
      </c>
      <c r="C44" s="13"/>
      <c r="D44" s="13"/>
      <c r="E44" s="13"/>
      <c r="F44" s="13"/>
      <c r="G44" s="13"/>
      <c r="H44" s="14"/>
      <c r="I44" s="14"/>
      <c r="J44" s="14"/>
      <c r="K44" s="14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ht="24" customHeight="1" spans="1:23">
      <c r="A45" s="13">
        <v>1</v>
      </c>
      <c r="B45" s="13"/>
      <c r="C45" s="13"/>
      <c r="D45" s="13"/>
      <c r="E45" s="13"/>
      <c r="F45" s="13"/>
      <c r="G45" s="13"/>
      <c r="H45" s="14"/>
      <c r="I45" s="14"/>
      <c r="J45" s="14"/>
      <c r="K45" s="14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ht="24" customHeight="1" spans="1:23">
      <c r="A46" s="13" t="s">
        <v>30</v>
      </c>
      <c r="B46" s="13"/>
      <c r="C46" s="13"/>
      <c r="D46" s="13"/>
      <c r="E46" s="13"/>
      <c r="F46" s="13"/>
      <c r="G46" s="13"/>
      <c r="H46" s="14"/>
      <c r="I46" s="14"/>
      <c r="J46" s="14"/>
      <c r="K46" s="14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ht="24" customHeight="1" spans="1:23">
      <c r="A47" s="13" t="s">
        <v>37</v>
      </c>
      <c r="B47" s="13" t="s">
        <v>38</v>
      </c>
      <c r="C47" s="13"/>
      <c r="D47" s="13"/>
      <c r="E47" s="13"/>
      <c r="F47" s="13"/>
      <c r="G47" s="13"/>
      <c r="H47" s="14"/>
      <c r="I47" s="14"/>
      <c r="J47" s="14"/>
      <c r="K47" s="14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ht="24" customHeight="1" spans="1:23">
      <c r="A48" s="13">
        <v>1</v>
      </c>
      <c r="B48" s="13"/>
      <c r="C48" s="13"/>
      <c r="D48" s="13"/>
      <c r="E48" s="13"/>
      <c r="F48" s="13"/>
      <c r="G48" s="13"/>
      <c r="H48" s="14"/>
      <c r="I48" s="14"/>
      <c r="J48" s="14"/>
      <c r="K48" s="14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ht="24" customHeight="1" spans="1:23">
      <c r="A49" s="13" t="s">
        <v>30</v>
      </c>
      <c r="B49" s="13"/>
      <c r="C49" s="13"/>
      <c r="D49" s="13"/>
      <c r="E49" s="13"/>
      <c r="F49" s="13"/>
      <c r="G49" s="13"/>
      <c r="H49" s="14"/>
      <c r="I49" s="14"/>
      <c r="J49" s="14"/>
      <c r="K49" s="14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ht="24" customHeight="1" spans="1:23">
      <c r="A50" s="13" t="s">
        <v>39</v>
      </c>
      <c r="B50" s="13" t="s">
        <v>40</v>
      </c>
      <c r="C50" s="13"/>
      <c r="D50" s="13"/>
      <c r="E50" s="13"/>
      <c r="F50" s="13"/>
      <c r="G50" s="13"/>
      <c r="H50" s="14"/>
      <c r="I50" s="14"/>
      <c r="J50" s="14"/>
      <c r="K50" s="14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ht="24" customHeight="1" spans="1:23">
      <c r="A51" s="13">
        <v>1</v>
      </c>
      <c r="B51" s="13"/>
      <c r="C51" s="13"/>
      <c r="D51" s="13"/>
      <c r="E51" s="13"/>
      <c r="F51" s="13"/>
      <c r="G51" s="13"/>
      <c r="H51" s="14"/>
      <c r="I51" s="14"/>
      <c r="J51" s="14"/>
      <c r="K51" s="14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ht="24" customHeight="1" spans="1:23">
      <c r="A52" s="13" t="s">
        <v>30</v>
      </c>
      <c r="B52" s="13"/>
      <c r="C52" s="13"/>
      <c r="D52" s="13"/>
      <c r="E52" s="13"/>
      <c r="F52" s="13"/>
      <c r="G52" s="13"/>
      <c r="H52" s="14"/>
      <c r="I52" s="14"/>
      <c r="J52" s="14"/>
      <c r="K52" s="14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ht="24" customHeight="1" spans="1:23">
      <c r="A53" s="13" t="s">
        <v>41</v>
      </c>
      <c r="B53" s="13" t="s">
        <v>42</v>
      </c>
      <c r="C53" s="13"/>
      <c r="D53" s="13"/>
      <c r="E53" s="13"/>
      <c r="F53" s="13"/>
      <c r="G53" s="13"/>
      <c r="H53" s="14"/>
      <c r="I53" s="14"/>
      <c r="J53" s="14"/>
      <c r="K53" s="14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ht="24" customHeight="1" spans="1:23">
      <c r="A54" s="13">
        <v>1</v>
      </c>
      <c r="B54" s="13"/>
      <c r="C54" s="13"/>
      <c r="D54" s="13"/>
      <c r="E54" s="13"/>
      <c r="F54" s="13"/>
      <c r="G54" s="13"/>
      <c r="H54" s="14"/>
      <c r="I54" s="14"/>
      <c r="J54" s="14"/>
      <c r="K54" s="14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ht="24" customHeight="1" spans="1:23">
      <c r="A55" s="13" t="s">
        <v>30</v>
      </c>
      <c r="B55" s="13"/>
      <c r="C55" s="13"/>
      <c r="D55" s="13"/>
      <c r="E55" s="13"/>
      <c r="F55" s="13"/>
      <c r="G55" s="13"/>
      <c r="H55" s="14"/>
      <c r="I55" s="14"/>
      <c r="J55" s="14"/>
      <c r="K55" s="14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ht="24" customHeight="1" spans="1:23">
      <c r="A56" s="13" t="s">
        <v>43</v>
      </c>
      <c r="B56" s="13" t="s">
        <v>44</v>
      </c>
      <c r="C56" s="13"/>
      <c r="D56" s="13"/>
      <c r="E56" s="13"/>
      <c r="F56" s="13"/>
      <c r="G56" s="13"/>
      <c r="H56" s="14"/>
      <c r="I56" s="14"/>
      <c r="J56" s="14"/>
      <c r="K56" s="14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ht="24" customHeight="1" spans="1:23">
      <c r="A57" s="13">
        <v>1</v>
      </c>
      <c r="B57" s="13"/>
      <c r="C57" s="13"/>
      <c r="D57" s="13"/>
      <c r="E57" s="13"/>
      <c r="F57" s="13"/>
      <c r="G57" s="13"/>
      <c r="H57" s="14"/>
      <c r="I57" s="14"/>
      <c r="J57" s="14"/>
      <c r="K57" s="14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ht="24" customHeight="1" spans="1:23">
      <c r="A58" s="13" t="s">
        <v>30</v>
      </c>
      <c r="B58" s="13"/>
      <c r="C58" s="13"/>
      <c r="D58" s="13"/>
      <c r="E58" s="13"/>
      <c r="F58" s="13"/>
      <c r="G58" s="13"/>
      <c r="H58" s="14"/>
      <c r="I58" s="14"/>
      <c r="J58" s="14"/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ht="24" customHeight="1" spans="1:23">
      <c r="A59" s="13" t="s">
        <v>45</v>
      </c>
      <c r="B59" s="13" t="s">
        <v>46</v>
      </c>
      <c r="C59" s="13"/>
      <c r="D59" s="13"/>
      <c r="E59" s="13"/>
      <c r="F59" s="13"/>
      <c r="G59" s="13"/>
      <c r="H59" s="14"/>
      <c r="I59" s="14"/>
      <c r="J59" s="14"/>
      <c r="K59" s="14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ht="24" customHeight="1" spans="1:23">
      <c r="A60" s="13">
        <v>1</v>
      </c>
      <c r="B60" s="13"/>
      <c r="C60" s="13"/>
      <c r="D60" s="13"/>
      <c r="E60" s="13"/>
      <c r="F60" s="13"/>
      <c r="G60" s="13"/>
      <c r="H60" s="14"/>
      <c r="I60" s="14"/>
      <c r="J60" s="14"/>
      <c r="K60" s="14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ht="24" customHeight="1" spans="1:23">
      <c r="A61" s="13" t="s">
        <v>30</v>
      </c>
      <c r="B61" s="13"/>
      <c r="C61" s="13"/>
      <c r="D61" s="13"/>
      <c r="E61" s="13"/>
      <c r="F61" s="13"/>
      <c r="G61" s="13"/>
      <c r="H61" s="14"/>
      <c r="I61" s="14"/>
      <c r="J61" s="14"/>
      <c r="K61" s="14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ht="24" customHeight="1" spans="1:23">
      <c r="A62" s="13" t="s">
        <v>47</v>
      </c>
      <c r="B62" s="13" t="s">
        <v>48</v>
      </c>
      <c r="C62" s="13"/>
      <c r="D62" s="13"/>
      <c r="E62" s="13"/>
      <c r="F62" s="13"/>
      <c r="G62" s="13"/>
      <c r="H62" s="14"/>
      <c r="I62" s="14"/>
      <c r="J62" s="14"/>
      <c r="K62" s="14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ht="24" customHeight="1" spans="1:23">
      <c r="A63" s="13">
        <v>1</v>
      </c>
      <c r="B63" s="13"/>
      <c r="C63" s="13"/>
      <c r="D63" s="13"/>
      <c r="E63" s="13"/>
      <c r="F63" s="13"/>
      <c r="G63" s="13"/>
      <c r="H63" s="14"/>
      <c r="I63" s="14"/>
      <c r="J63" s="14"/>
      <c r="K63" s="14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ht="24" customHeight="1" spans="1:23">
      <c r="A64" s="13" t="s">
        <v>30</v>
      </c>
      <c r="B64" s="13"/>
      <c r="C64" s="13"/>
      <c r="D64" s="13"/>
      <c r="E64" s="13"/>
      <c r="F64" s="13"/>
      <c r="G64" s="13"/>
      <c r="H64" s="14"/>
      <c r="I64" s="14"/>
      <c r="J64" s="14"/>
      <c r="K64" s="14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="1" customFormat="1" ht="24" customHeight="1" spans="1:23">
      <c r="A65" s="9" t="s">
        <v>49</v>
      </c>
      <c r="B65" s="9" t="s">
        <v>50</v>
      </c>
      <c r="C65" s="9"/>
      <c r="D65" s="9"/>
      <c r="E65" s="9"/>
      <c r="F65" s="9"/>
      <c r="G65" s="9"/>
      <c r="H65" s="12">
        <f>I65+J65+K65</f>
        <v>14252643.4</v>
      </c>
      <c r="I65" s="12">
        <f t="shared" ref="I65:K65" si="6">SUM(I66:I99)</f>
        <v>3180656.4</v>
      </c>
      <c r="J65" s="12">
        <f t="shared" si="6"/>
        <v>3571005.07</v>
      </c>
      <c r="K65" s="12">
        <f t="shared" si="6"/>
        <v>7500981.93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ht="24" customHeight="1" spans="1:23">
      <c r="A66" s="13">
        <v>1</v>
      </c>
      <c r="B66" s="13" t="s">
        <v>396</v>
      </c>
      <c r="C66" s="13" t="s">
        <v>85</v>
      </c>
      <c r="D66" s="13"/>
      <c r="E66" s="13"/>
      <c r="F66" s="21" t="s">
        <v>355</v>
      </c>
      <c r="G66" s="21" t="s">
        <v>356</v>
      </c>
      <c r="H66" s="22">
        <f t="shared" ref="H66:H99" si="7">I66+J66+K66</f>
        <v>36.68</v>
      </c>
      <c r="I66" s="22"/>
      <c r="J66" s="22">
        <v>36.68</v>
      </c>
      <c r="K66" s="22"/>
      <c r="L66" s="21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ht="24" customHeight="1" spans="1:23">
      <c r="A67" s="13">
        <v>2</v>
      </c>
      <c r="B67" s="13" t="s">
        <v>397</v>
      </c>
      <c r="C67" s="13" t="s">
        <v>85</v>
      </c>
      <c r="D67" s="13"/>
      <c r="E67" s="13"/>
      <c r="F67" s="21" t="s">
        <v>355</v>
      </c>
      <c r="G67" s="21" t="s">
        <v>356</v>
      </c>
      <c r="H67" s="22">
        <f t="shared" si="7"/>
        <v>39.89</v>
      </c>
      <c r="I67" s="22"/>
      <c r="J67" s="22">
        <v>39.89</v>
      </c>
      <c r="K67" s="22"/>
      <c r="L67" s="21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ht="24" customHeight="1" spans="1:23">
      <c r="A68" s="13">
        <v>3</v>
      </c>
      <c r="B68" s="13" t="s">
        <v>398</v>
      </c>
      <c r="C68" s="13" t="s">
        <v>106</v>
      </c>
      <c r="D68" s="13"/>
      <c r="E68" s="13"/>
      <c r="F68" s="13"/>
      <c r="G68" s="13"/>
      <c r="H68" s="14">
        <f t="shared" si="7"/>
        <v>192.331064</v>
      </c>
      <c r="I68" s="14"/>
      <c r="J68" s="14"/>
      <c r="K68" s="14">
        <v>192.331064</v>
      </c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ht="24" customHeight="1" spans="1:23">
      <c r="A69" s="13">
        <v>4</v>
      </c>
      <c r="B69" s="13" t="s">
        <v>399</v>
      </c>
      <c r="C69" s="13" t="s">
        <v>106</v>
      </c>
      <c r="D69" s="13"/>
      <c r="E69" s="13"/>
      <c r="F69" s="13"/>
      <c r="G69" s="13"/>
      <c r="H69" s="14">
        <f t="shared" si="7"/>
        <v>248.377547</v>
      </c>
      <c r="I69" s="14">
        <v>26.810477</v>
      </c>
      <c r="J69" s="14">
        <v>45.836467</v>
      </c>
      <c r="K69" s="14">
        <v>175.730603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ht="24" customHeight="1" spans="1:23">
      <c r="A70" s="13">
        <v>5</v>
      </c>
      <c r="B70" s="13" t="s">
        <v>400</v>
      </c>
      <c r="C70" s="13" t="s">
        <v>106</v>
      </c>
      <c r="D70" s="13"/>
      <c r="E70" s="13"/>
      <c r="F70" s="13"/>
      <c r="G70" s="13"/>
      <c r="H70" s="14">
        <f t="shared" si="7"/>
        <v>67.24538</v>
      </c>
      <c r="I70" s="14"/>
      <c r="J70" s="14"/>
      <c r="K70" s="14">
        <v>67.24538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ht="24" customHeight="1" spans="1:23">
      <c r="A71" s="13">
        <v>6</v>
      </c>
      <c r="B71" s="13" t="s">
        <v>401</v>
      </c>
      <c r="C71" s="13" t="s">
        <v>106</v>
      </c>
      <c r="D71" s="13"/>
      <c r="E71" s="13"/>
      <c r="F71" s="13"/>
      <c r="G71" s="13"/>
      <c r="H71" s="14">
        <f t="shared" si="7"/>
        <v>80.995478</v>
      </c>
      <c r="I71" s="14">
        <v>80.995478</v>
      </c>
      <c r="J71" s="14"/>
      <c r="K71" s="14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ht="24" customHeight="1" spans="1:23">
      <c r="A72" s="13">
        <v>7</v>
      </c>
      <c r="B72" s="13" t="s">
        <v>402</v>
      </c>
      <c r="C72" s="13" t="s">
        <v>106</v>
      </c>
      <c r="D72" s="13"/>
      <c r="E72" s="13"/>
      <c r="F72" s="13"/>
      <c r="G72" s="13"/>
      <c r="H72" s="14">
        <f t="shared" si="7"/>
        <v>290.917824</v>
      </c>
      <c r="I72" s="14"/>
      <c r="J72" s="14">
        <v>290.917824</v>
      </c>
      <c r="K72" s="14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ht="24" customHeight="1" spans="1:23">
      <c r="A73" s="13">
        <v>8</v>
      </c>
      <c r="B73" s="13" t="s">
        <v>403</v>
      </c>
      <c r="C73" s="13" t="s">
        <v>106</v>
      </c>
      <c r="D73" s="13"/>
      <c r="E73" s="13"/>
      <c r="F73" s="13"/>
      <c r="G73" s="13"/>
      <c r="H73" s="14">
        <f t="shared" si="7"/>
        <v>28.439754</v>
      </c>
      <c r="I73" s="14">
        <v>17.194045</v>
      </c>
      <c r="J73" s="14">
        <v>11.245709</v>
      </c>
      <c r="K73" s="14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ht="24" customHeight="1" spans="1:23">
      <c r="A74" s="13">
        <v>9</v>
      </c>
      <c r="B74" s="13" t="s">
        <v>404</v>
      </c>
      <c r="C74" s="13" t="s">
        <v>106</v>
      </c>
      <c r="D74" s="13"/>
      <c r="E74" s="13"/>
      <c r="F74" s="13"/>
      <c r="G74" s="13"/>
      <c r="H74" s="14">
        <f t="shared" si="7"/>
        <v>99.889867</v>
      </c>
      <c r="I74" s="14"/>
      <c r="J74" s="14">
        <v>60</v>
      </c>
      <c r="K74" s="14">
        <v>39.889867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ht="24" customHeight="1" spans="1:23">
      <c r="A75" s="13">
        <v>10</v>
      </c>
      <c r="B75" s="13" t="s">
        <v>405</v>
      </c>
      <c r="C75" s="13" t="s">
        <v>106</v>
      </c>
      <c r="D75" s="13"/>
      <c r="E75" s="13"/>
      <c r="F75" s="13"/>
      <c r="G75" s="13"/>
      <c r="H75" s="14">
        <f t="shared" si="7"/>
        <v>22.609793</v>
      </c>
      <c r="I75" s="14"/>
      <c r="J75" s="14"/>
      <c r="K75" s="14">
        <v>22.609793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ht="24" customHeight="1" spans="1:23">
      <c r="A76" s="13">
        <v>11</v>
      </c>
      <c r="B76" s="13" t="s">
        <v>406</v>
      </c>
      <c r="C76" s="13" t="s">
        <v>106</v>
      </c>
      <c r="D76" s="13"/>
      <c r="E76" s="13"/>
      <c r="F76" s="13"/>
      <c r="G76" s="13"/>
      <c r="H76" s="14">
        <f t="shared" si="7"/>
        <v>26.683293</v>
      </c>
      <c r="I76" s="14"/>
      <c r="J76" s="14"/>
      <c r="K76" s="14">
        <v>26.683293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ht="24" customHeight="1" spans="1:23">
      <c r="A77" s="13">
        <v>12</v>
      </c>
      <c r="B77" s="13" t="s">
        <v>407</v>
      </c>
      <c r="C77" s="13" t="s">
        <v>117</v>
      </c>
      <c r="D77" s="13"/>
      <c r="E77" s="13"/>
      <c r="F77" s="13"/>
      <c r="G77" s="13"/>
      <c r="H77" s="14">
        <f t="shared" si="7"/>
        <v>58.46</v>
      </c>
      <c r="I77" s="14">
        <v>58.46</v>
      </c>
      <c r="J77" s="14"/>
      <c r="K77" s="14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ht="24" customHeight="1" spans="1:23">
      <c r="A78" s="13">
        <v>13</v>
      </c>
      <c r="B78" s="13" t="s">
        <v>408</v>
      </c>
      <c r="C78" s="13" t="s">
        <v>117</v>
      </c>
      <c r="D78" s="13"/>
      <c r="E78" s="13"/>
      <c r="F78" s="13"/>
      <c r="G78" s="13"/>
      <c r="H78" s="14">
        <f t="shared" si="7"/>
        <v>54.2</v>
      </c>
      <c r="I78" s="14">
        <v>54.2</v>
      </c>
      <c r="J78" s="14"/>
      <c r="K78" s="14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ht="24" customHeight="1" spans="1:23">
      <c r="A79" s="13">
        <v>14</v>
      </c>
      <c r="B79" s="13" t="s">
        <v>409</v>
      </c>
      <c r="C79" s="13" t="s">
        <v>117</v>
      </c>
      <c r="D79" s="13"/>
      <c r="E79" s="13"/>
      <c r="F79" s="13"/>
      <c r="G79" s="13"/>
      <c r="H79" s="14">
        <f t="shared" si="7"/>
        <v>40.25</v>
      </c>
      <c r="I79" s="14">
        <v>40.25</v>
      </c>
      <c r="J79" s="14"/>
      <c r="K79" s="14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ht="24" customHeight="1" spans="1:23">
      <c r="A80" s="13">
        <v>15</v>
      </c>
      <c r="B80" s="13" t="s">
        <v>186</v>
      </c>
      <c r="C80" s="13" t="s">
        <v>117</v>
      </c>
      <c r="D80" s="13"/>
      <c r="E80" s="13"/>
      <c r="F80" s="13"/>
      <c r="G80" s="13"/>
      <c r="H80" s="14">
        <f t="shared" si="7"/>
        <v>43.88</v>
      </c>
      <c r="I80" s="14">
        <v>43.88</v>
      </c>
      <c r="J80" s="14">
        <v>0</v>
      </c>
      <c r="K80" s="14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ht="24" customHeight="1" spans="1:23">
      <c r="A81" s="13">
        <v>16</v>
      </c>
      <c r="B81" s="13" t="s">
        <v>188</v>
      </c>
      <c r="C81" s="13" t="s">
        <v>117</v>
      </c>
      <c r="D81" s="13"/>
      <c r="E81" s="13"/>
      <c r="F81" s="13"/>
      <c r="G81" s="13"/>
      <c r="H81" s="14">
        <f t="shared" si="7"/>
        <v>70.97</v>
      </c>
      <c r="I81" s="14">
        <v>36.17</v>
      </c>
      <c r="J81" s="14">
        <v>34.8</v>
      </c>
      <c r="K81" s="14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ht="24" customHeight="1" spans="1:23">
      <c r="A82" s="13">
        <v>17</v>
      </c>
      <c r="B82" s="13" t="s">
        <v>410</v>
      </c>
      <c r="C82" s="13" t="s">
        <v>117</v>
      </c>
      <c r="D82" s="13"/>
      <c r="E82" s="13"/>
      <c r="F82" s="13"/>
      <c r="G82" s="13"/>
      <c r="H82" s="14">
        <f t="shared" si="7"/>
        <v>540</v>
      </c>
      <c r="I82" s="14">
        <v>263.83</v>
      </c>
      <c r="J82" s="14">
        <v>276.17</v>
      </c>
      <c r="K82" s="14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ht="24" customHeight="1" spans="1:23">
      <c r="A83" s="13">
        <v>18</v>
      </c>
      <c r="B83" s="13" t="s">
        <v>411</v>
      </c>
      <c r="C83" s="13" t="s">
        <v>117</v>
      </c>
      <c r="D83" s="13"/>
      <c r="E83" s="13"/>
      <c r="F83" s="13"/>
      <c r="G83" s="13"/>
      <c r="H83" s="14">
        <f t="shared" si="7"/>
        <v>140</v>
      </c>
      <c r="I83" s="14"/>
      <c r="J83" s="14">
        <v>140</v>
      </c>
      <c r="K83" s="14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ht="24" customHeight="1" spans="1:23">
      <c r="A84" s="13">
        <v>19</v>
      </c>
      <c r="B84" s="13" t="s">
        <v>184</v>
      </c>
      <c r="C84" s="13" t="s">
        <v>117</v>
      </c>
      <c r="D84" s="13"/>
      <c r="E84" s="13"/>
      <c r="F84" s="13"/>
      <c r="G84" s="13"/>
      <c r="H84" s="14">
        <f t="shared" si="7"/>
        <v>104.14</v>
      </c>
      <c r="I84" s="14">
        <v>34.61</v>
      </c>
      <c r="J84" s="14">
        <v>69.53</v>
      </c>
      <c r="K84" s="14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ht="24" customHeight="1" spans="1:23">
      <c r="A85" s="13">
        <v>20</v>
      </c>
      <c r="B85" s="13" t="s">
        <v>412</v>
      </c>
      <c r="C85" s="13" t="s">
        <v>94</v>
      </c>
      <c r="D85" s="13"/>
      <c r="E85" s="13"/>
      <c r="F85" s="13" t="s">
        <v>355</v>
      </c>
      <c r="G85" s="13" t="s">
        <v>379</v>
      </c>
      <c r="H85" s="14">
        <f t="shared" si="7"/>
        <v>1250000</v>
      </c>
      <c r="I85" s="14"/>
      <c r="J85" s="14"/>
      <c r="K85" s="14">
        <v>1250000</v>
      </c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ht="24" customHeight="1" spans="1:23">
      <c r="A86" s="13">
        <v>21</v>
      </c>
      <c r="B86" s="13" t="s">
        <v>413</v>
      </c>
      <c r="C86" s="13" t="s">
        <v>94</v>
      </c>
      <c r="D86" s="13"/>
      <c r="E86" s="13"/>
      <c r="F86" s="13" t="s">
        <v>355</v>
      </c>
      <c r="G86" s="13" t="s">
        <v>379</v>
      </c>
      <c r="H86" s="14">
        <f t="shared" si="7"/>
        <v>900000</v>
      </c>
      <c r="I86" s="14"/>
      <c r="J86" s="14"/>
      <c r="K86" s="14">
        <v>900000</v>
      </c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ht="24" customHeight="1" spans="1:23">
      <c r="A87" s="13">
        <v>22</v>
      </c>
      <c r="B87" s="13" t="s">
        <v>414</v>
      </c>
      <c r="C87" s="13" t="s">
        <v>94</v>
      </c>
      <c r="D87" s="13"/>
      <c r="E87" s="13"/>
      <c r="F87" s="13" t="s">
        <v>355</v>
      </c>
      <c r="G87" s="13" t="s">
        <v>379</v>
      </c>
      <c r="H87" s="14">
        <f t="shared" si="7"/>
        <v>300000</v>
      </c>
      <c r="I87" s="14"/>
      <c r="J87" s="14"/>
      <c r="K87" s="14">
        <v>300000</v>
      </c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ht="24" customHeight="1" spans="1:23">
      <c r="A88" s="13">
        <v>23</v>
      </c>
      <c r="B88" s="13" t="s">
        <v>415</v>
      </c>
      <c r="C88" s="13" t="s">
        <v>94</v>
      </c>
      <c r="D88" s="13"/>
      <c r="E88" s="13"/>
      <c r="F88" s="13" t="s">
        <v>355</v>
      </c>
      <c r="G88" s="13" t="s">
        <v>381</v>
      </c>
      <c r="H88" s="14">
        <f t="shared" si="7"/>
        <v>489600</v>
      </c>
      <c r="I88" s="14"/>
      <c r="J88" s="14">
        <v>489600</v>
      </c>
      <c r="K88" s="14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ht="24" customHeight="1" spans="1:23">
      <c r="A89" s="13">
        <v>24</v>
      </c>
      <c r="B89" s="13" t="s">
        <v>416</v>
      </c>
      <c r="C89" s="13" t="s">
        <v>94</v>
      </c>
      <c r="D89" s="13"/>
      <c r="E89" s="13"/>
      <c r="F89" s="13" t="s">
        <v>355</v>
      </c>
      <c r="G89" s="13" t="s">
        <v>379</v>
      </c>
      <c r="H89" s="14">
        <f t="shared" si="7"/>
        <v>1300000</v>
      </c>
      <c r="I89" s="14">
        <v>1190000</v>
      </c>
      <c r="J89" s="14">
        <v>110000</v>
      </c>
      <c r="K89" s="14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ht="24" customHeight="1" spans="1:23">
      <c r="A90" s="13">
        <v>25</v>
      </c>
      <c r="B90" s="13" t="s">
        <v>417</v>
      </c>
      <c r="C90" s="13" t="s">
        <v>94</v>
      </c>
      <c r="D90" s="13"/>
      <c r="E90" s="13"/>
      <c r="F90" s="13" t="s">
        <v>355</v>
      </c>
      <c r="G90" s="13" t="s">
        <v>379</v>
      </c>
      <c r="H90" s="14">
        <f t="shared" si="7"/>
        <v>200000</v>
      </c>
      <c r="I90" s="14"/>
      <c r="J90" s="14"/>
      <c r="K90" s="14">
        <v>200000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ht="24" customHeight="1" spans="1:23">
      <c r="A91" s="13">
        <v>26</v>
      </c>
      <c r="B91" s="13" t="s">
        <v>418</v>
      </c>
      <c r="C91" s="13" t="s">
        <v>94</v>
      </c>
      <c r="D91" s="13"/>
      <c r="E91" s="13"/>
      <c r="F91" s="13" t="s">
        <v>355</v>
      </c>
      <c r="G91" s="13" t="s">
        <v>379</v>
      </c>
      <c r="H91" s="14">
        <f t="shared" si="7"/>
        <v>260000</v>
      </c>
      <c r="I91" s="14"/>
      <c r="J91" s="14"/>
      <c r="K91" s="14">
        <v>260000</v>
      </c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ht="24" customHeight="1" spans="1:23">
      <c r="A92" s="13">
        <v>27</v>
      </c>
      <c r="B92" s="13" t="s">
        <v>419</v>
      </c>
      <c r="C92" s="13" t="s">
        <v>94</v>
      </c>
      <c r="D92" s="13"/>
      <c r="E92" s="13"/>
      <c r="F92" s="13" t="s">
        <v>355</v>
      </c>
      <c r="G92" s="13" t="s">
        <v>381</v>
      </c>
      <c r="H92" s="14">
        <f t="shared" si="7"/>
        <v>590400</v>
      </c>
      <c r="I92" s="14"/>
      <c r="J92" s="14">
        <v>190400</v>
      </c>
      <c r="K92" s="14">
        <v>400000</v>
      </c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ht="24" customHeight="1" spans="1:23">
      <c r="A93" s="13">
        <v>28</v>
      </c>
      <c r="B93" s="13" t="s">
        <v>420</v>
      </c>
      <c r="C93" s="13" t="s">
        <v>94</v>
      </c>
      <c r="D93" s="13"/>
      <c r="E93" s="13"/>
      <c r="F93" s="13" t="s">
        <v>355</v>
      </c>
      <c r="G93" s="13" t="s">
        <v>381</v>
      </c>
      <c r="H93" s="14">
        <f t="shared" si="7"/>
        <v>737837.49</v>
      </c>
      <c r="I93" s="14"/>
      <c r="J93" s="14"/>
      <c r="K93" s="14">
        <v>737837.49</v>
      </c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ht="24" customHeight="1" spans="1:23">
      <c r="A94" s="13">
        <v>29</v>
      </c>
      <c r="B94" s="13" t="s">
        <v>421</v>
      </c>
      <c r="C94" s="13" t="s">
        <v>94</v>
      </c>
      <c r="D94" s="13"/>
      <c r="E94" s="13"/>
      <c r="F94" s="13" t="s">
        <v>355</v>
      </c>
      <c r="G94" s="13" t="s">
        <v>381</v>
      </c>
      <c r="H94" s="14">
        <f t="shared" si="7"/>
        <v>1587200</v>
      </c>
      <c r="I94" s="14"/>
      <c r="J94" s="14">
        <v>30000</v>
      </c>
      <c r="K94" s="14">
        <v>1557200</v>
      </c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ht="24" customHeight="1" spans="1:23">
      <c r="A95" s="13">
        <v>30</v>
      </c>
      <c r="B95" s="13" t="s">
        <v>422</v>
      </c>
      <c r="C95" s="13" t="s">
        <v>94</v>
      </c>
      <c r="D95" s="13"/>
      <c r="E95" s="13"/>
      <c r="F95" s="13" t="s">
        <v>355</v>
      </c>
      <c r="G95" s="13" t="s">
        <v>379</v>
      </c>
      <c r="H95" s="14">
        <f t="shared" si="7"/>
        <v>2100000</v>
      </c>
      <c r="I95" s="14">
        <v>1990000</v>
      </c>
      <c r="J95" s="14">
        <v>110000</v>
      </c>
      <c r="K95" s="14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ht="24" customHeight="1" spans="1:23">
      <c r="A96" s="13">
        <v>31</v>
      </c>
      <c r="B96" s="13" t="s">
        <v>423</v>
      </c>
      <c r="C96" s="13" t="s">
        <v>94</v>
      </c>
      <c r="D96" s="13"/>
      <c r="E96" s="13"/>
      <c r="F96" s="13" t="s">
        <v>355</v>
      </c>
      <c r="G96" s="13" t="s">
        <v>379</v>
      </c>
      <c r="H96" s="14">
        <f t="shared" si="7"/>
        <v>360000</v>
      </c>
      <c r="I96" s="14"/>
      <c r="J96" s="14">
        <v>360000</v>
      </c>
      <c r="K96" s="14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ht="24" customHeight="1" spans="1:23">
      <c r="A97" s="25">
        <v>32</v>
      </c>
      <c r="B97" s="25" t="s">
        <v>424</v>
      </c>
      <c r="C97" s="25" t="s">
        <v>94</v>
      </c>
      <c r="D97" s="13"/>
      <c r="E97" s="13"/>
      <c r="F97" s="13" t="s">
        <v>355</v>
      </c>
      <c r="G97" s="13" t="s">
        <v>425</v>
      </c>
      <c r="H97" s="14">
        <f t="shared" si="7"/>
        <v>1800000</v>
      </c>
      <c r="I97" s="14"/>
      <c r="J97" s="14">
        <v>1170000</v>
      </c>
      <c r="K97" s="14">
        <v>630000</v>
      </c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ht="24" customHeight="1" spans="1:23">
      <c r="A98" s="13">
        <v>33</v>
      </c>
      <c r="B98" s="13" t="s">
        <v>426</v>
      </c>
      <c r="C98" s="13" t="s">
        <v>94</v>
      </c>
      <c r="D98" s="13"/>
      <c r="E98" s="13"/>
      <c r="F98" s="13" t="s">
        <v>355</v>
      </c>
      <c r="G98" s="13" t="s">
        <v>425</v>
      </c>
      <c r="H98" s="14">
        <f t="shared" si="7"/>
        <v>720000</v>
      </c>
      <c r="I98" s="14"/>
      <c r="J98" s="14"/>
      <c r="K98" s="14">
        <v>720000</v>
      </c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ht="48.75" customHeight="1" spans="1:23">
      <c r="A99" s="25">
        <v>34</v>
      </c>
      <c r="B99" s="25" t="s">
        <v>427</v>
      </c>
      <c r="C99" s="25" t="s">
        <v>94</v>
      </c>
      <c r="D99" s="13"/>
      <c r="E99" s="13"/>
      <c r="F99" s="13" t="s">
        <v>389</v>
      </c>
      <c r="G99" s="13" t="s">
        <v>428</v>
      </c>
      <c r="H99" s="14">
        <f t="shared" si="7"/>
        <v>1655419.95</v>
      </c>
      <c r="I99" s="14"/>
      <c r="J99" s="14">
        <f>750000+360000</f>
        <v>1110000</v>
      </c>
      <c r="K99" s="14">
        <v>545419.95</v>
      </c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ht="24" customHeight="1" spans="1:23">
      <c r="A100" s="13" t="s">
        <v>51</v>
      </c>
      <c r="B100" s="13" t="s">
        <v>52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ht="24" customHeight="1" spans="1:23">
      <c r="A101" s="13">
        <v>1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ht="24" customHeight="1" spans="1:23">
      <c r="A102" s="13" t="s">
        <v>30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ht="24" customHeight="1" spans="1:23">
      <c r="A103" s="13" t="s">
        <v>53</v>
      </c>
      <c r="B103" s="13" t="s">
        <v>54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ht="24" customHeight="1" spans="1:23">
      <c r="A104" s="13">
        <v>1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ht="24" customHeight="1" spans="1:23">
      <c r="A105" s="13" t="s">
        <v>30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>
      <c r="A106" s="15" t="s">
        <v>191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pans="1:2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1:11">
      <c r="K109" s="18"/>
    </row>
  </sheetData>
  <autoFilter ref="A9:W108"/>
  <mergeCells count="30">
    <mergeCell ref="A1:C1"/>
    <mergeCell ref="A2:W2"/>
    <mergeCell ref="A3:B3"/>
    <mergeCell ref="T3:W3"/>
    <mergeCell ref="H4:N4"/>
    <mergeCell ref="S4:U4"/>
    <mergeCell ref="I5:N5"/>
    <mergeCell ref="I6:K6"/>
    <mergeCell ref="A8:B8"/>
    <mergeCell ref="A4:A7"/>
    <mergeCell ref="B4:B7"/>
    <mergeCell ref="C4:C7"/>
    <mergeCell ref="D4:D7"/>
    <mergeCell ref="E4:E7"/>
    <mergeCell ref="F4:F7"/>
    <mergeCell ref="G4:G7"/>
    <mergeCell ref="H5:H7"/>
    <mergeCell ref="L6:L7"/>
    <mergeCell ref="M6:M7"/>
    <mergeCell ref="N6:N7"/>
    <mergeCell ref="O4:O7"/>
    <mergeCell ref="P4:P7"/>
    <mergeCell ref="Q4:Q7"/>
    <mergeCell ref="R4:R7"/>
    <mergeCell ref="S5:S7"/>
    <mergeCell ref="T5:T7"/>
    <mergeCell ref="U5:U7"/>
    <mergeCell ref="V4:V7"/>
    <mergeCell ref="W4:W7"/>
    <mergeCell ref="A106:W108"/>
  </mergeCells>
  <pageMargins left="0.707638888888889" right="0.707638888888889" top="0.747916666666667" bottom="0.747916666666667" header="0.313888888888889" footer="0.313888888888889"/>
  <pageSetup paperSize="9" scale="46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A1:T26"/>
  <sheetViews>
    <sheetView zoomScale="85" zoomScaleNormal="85" topLeftCell="C1" workbookViewId="0">
      <selection activeCell="F14" sqref="F14:G22"/>
    </sheetView>
  </sheetViews>
  <sheetFormatPr defaultColWidth="9" defaultRowHeight="13.5"/>
  <cols>
    <col min="1" max="1" width="4.25833333333333" customWidth="1"/>
    <col min="2" max="2" width="32.1333333333333" customWidth="1"/>
    <col min="3" max="3" width="14.3833333333333" customWidth="1"/>
    <col min="4" max="4" width="19" customWidth="1"/>
    <col min="5" max="7" width="17.1333333333333" customWidth="1"/>
    <col min="8" max="11" width="15.2583333333333" customWidth="1"/>
    <col min="12" max="12" width="17.8833333333333" customWidth="1"/>
    <col min="13" max="16" width="11.3833333333333" customWidth="1"/>
    <col min="17" max="17" width="10.7583333333333" customWidth="1"/>
    <col min="20" max="20" width="10.7583333333333" customWidth="1"/>
  </cols>
  <sheetData>
    <row r="1" ht="26.25" customHeight="1" spans="1:8">
      <c r="A1" s="2" t="s">
        <v>77</v>
      </c>
      <c r="B1" s="2"/>
      <c r="C1" s="2"/>
      <c r="H1" s="23"/>
    </row>
    <row r="2" ht="26.25" customHeight="1" spans="1:11">
      <c r="A2" s="3" t="s">
        <v>353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6.25" customHeight="1" spans="1:11">
      <c r="A3" s="4" t="s">
        <v>58</v>
      </c>
      <c r="B3" s="4"/>
      <c r="C3" s="5"/>
      <c r="D3" s="5" t="s">
        <v>59</v>
      </c>
      <c r="E3" s="5"/>
      <c r="F3" s="3"/>
      <c r="G3" s="3"/>
      <c r="H3" s="3"/>
      <c r="I3" s="3"/>
      <c r="J3" s="3"/>
      <c r="K3" s="3"/>
    </row>
    <row r="4" ht="19.5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6" t="s">
        <v>79</v>
      </c>
      <c r="F4" s="6" t="s">
        <v>7</v>
      </c>
      <c r="G4" s="6" t="s">
        <v>80</v>
      </c>
      <c r="H4" s="7" t="s">
        <v>8</v>
      </c>
      <c r="I4" s="16"/>
      <c r="J4" s="16"/>
      <c r="K4" s="16"/>
      <c r="L4" s="6" t="s">
        <v>80</v>
      </c>
      <c r="M4" s="7" t="s">
        <v>8</v>
      </c>
      <c r="N4" s="16"/>
      <c r="O4" s="16"/>
      <c r="P4" s="16"/>
      <c r="Q4" s="7" t="s">
        <v>8</v>
      </c>
      <c r="R4" s="16"/>
      <c r="S4" s="16"/>
      <c r="T4" s="16"/>
    </row>
    <row r="5" ht="19.5" customHeight="1" spans="1:20">
      <c r="A5" s="8"/>
      <c r="B5" s="8"/>
      <c r="C5" s="8"/>
      <c r="D5" s="8"/>
      <c r="E5" s="8"/>
      <c r="F5" s="8"/>
      <c r="G5" s="8"/>
      <c r="H5" s="9" t="s">
        <v>16</v>
      </c>
      <c r="I5" s="17" t="s">
        <v>17</v>
      </c>
      <c r="J5" s="16"/>
      <c r="K5" s="16"/>
      <c r="L5" s="8"/>
      <c r="M5" s="9" t="s">
        <v>16</v>
      </c>
      <c r="N5" s="17" t="s">
        <v>17</v>
      </c>
      <c r="O5" s="16"/>
      <c r="P5" s="16"/>
      <c r="Q5" s="9" t="s">
        <v>16</v>
      </c>
      <c r="R5" s="17" t="s">
        <v>17</v>
      </c>
      <c r="S5" s="16"/>
      <c r="T5" s="16"/>
    </row>
    <row r="6" ht="19.5" customHeight="1" spans="1:20">
      <c r="A6" s="8"/>
      <c r="B6" s="8"/>
      <c r="C6" s="8"/>
      <c r="D6" s="8"/>
      <c r="E6" s="8"/>
      <c r="F6" s="8"/>
      <c r="G6" s="8"/>
      <c r="H6" s="10"/>
      <c r="I6" s="9" t="s">
        <v>81</v>
      </c>
      <c r="J6" s="10"/>
      <c r="K6" s="10"/>
      <c r="L6" s="8"/>
      <c r="M6" s="10"/>
      <c r="N6" s="9" t="s">
        <v>81</v>
      </c>
      <c r="O6" s="10"/>
      <c r="P6" s="10"/>
      <c r="Q6" s="10"/>
      <c r="R6" s="9" t="s">
        <v>81</v>
      </c>
      <c r="S6" s="10"/>
      <c r="T6" s="10"/>
    </row>
    <row r="7" ht="49.9" customHeight="1" spans="1:20">
      <c r="A7" s="11"/>
      <c r="B7" s="11"/>
      <c r="C7" s="11"/>
      <c r="D7" s="11"/>
      <c r="E7" s="11"/>
      <c r="F7" s="11"/>
      <c r="G7" s="11"/>
      <c r="H7" s="10"/>
      <c r="I7" s="9" t="s">
        <v>25</v>
      </c>
      <c r="J7" s="9" t="s">
        <v>26</v>
      </c>
      <c r="K7" s="9" t="s">
        <v>27</v>
      </c>
      <c r="L7" s="11"/>
      <c r="M7" s="10"/>
      <c r="N7" s="9" t="s">
        <v>25</v>
      </c>
      <c r="O7" s="9" t="s">
        <v>26</v>
      </c>
      <c r="P7" s="9" t="s">
        <v>27</v>
      </c>
      <c r="Q7" s="10"/>
      <c r="R7" s="9" t="s">
        <v>25</v>
      </c>
      <c r="S7" s="9" t="s">
        <v>26</v>
      </c>
      <c r="T7" s="9" t="s">
        <v>27</v>
      </c>
    </row>
    <row r="8" s="1" customFormat="1" ht="24" customHeight="1" spans="1:20">
      <c r="A8" s="17" t="s">
        <v>16</v>
      </c>
      <c r="B8" s="20"/>
      <c r="C8" s="9"/>
      <c r="D8" s="9"/>
      <c r="E8" s="9"/>
      <c r="F8" s="9"/>
      <c r="G8" s="9"/>
      <c r="H8" s="12">
        <f>I8+J8+K8</f>
        <v>3139</v>
      </c>
      <c r="I8" s="12">
        <f t="shared" ref="I8:K8" si="0">I9+I10+I11+I12+I13+I14+I15+I16+I17+I18+I19+I20+I21+I22</f>
        <v>279</v>
      </c>
      <c r="J8" s="12">
        <f t="shared" si="0"/>
        <v>860</v>
      </c>
      <c r="K8" s="12">
        <f t="shared" si="0"/>
        <v>2000</v>
      </c>
      <c r="L8" s="9"/>
      <c r="M8" s="12">
        <f>N8+O8+P8</f>
        <v>-2.66453525910038e-15</v>
      </c>
      <c r="N8" s="12">
        <f t="shared" ref="N8:P8" si="1">N9+N10+N11+N12+N13+N14+N15+N16+N17+N18+N19+N20+N21+N22</f>
        <v>-2.66453525910038e-15</v>
      </c>
      <c r="O8" s="12">
        <f t="shared" si="1"/>
        <v>0</v>
      </c>
      <c r="P8" s="12">
        <f t="shared" si="1"/>
        <v>0</v>
      </c>
      <c r="Q8" s="12">
        <f>R8+S8+T8</f>
        <v>3139</v>
      </c>
      <c r="R8" s="12">
        <f t="shared" ref="R8:T8" si="2">R9+R10+R11+R12+R13+R14+R15+R16+R17+R18+R19+R20+R21+R22</f>
        <v>279</v>
      </c>
      <c r="S8" s="12">
        <f t="shared" si="2"/>
        <v>860</v>
      </c>
      <c r="T8" s="12">
        <f t="shared" si="2"/>
        <v>2000</v>
      </c>
    </row>
    <row r="9" ht="24" customHeight="1" spans="1:20">
      <c r="A9" s="13">
        <v>8</v>
      </c>
      <c r="B9" s="13" t="s">
        <v>366</v>
      </c>
      <c r="C9" s="13" t="s">
        <v>106</v>
      </c>
      <c r="D9" s="13"/>
      <c r="E9" s="13"/>
      <c r="F9" s="13" t="s">
        <v>355</v>
      </c>
      <c r="G9" s="13" t="s">
        <v>367</v>
      </c>
      <c r="H9" s="14">
        <f t="shared" ref="H9:H13" si="3">I9+J9+K9</f>
        <v>1000</v>
      </c>
      <c r="I9" s="14">
        <v>132</v>
      </c>
      <c r="J9" s="14">
        <v>380</v>
      </c>
      <c r="K9" s="14">
        <v>488</v>
      </c>
      <c r="L9" s="13"/>
      <c r="M9" s="14">
        <f t="shared" ref="M9:M22" si="4">N9+O9+P9</f>
        <v>0</v>
      </c>
      <c r="N9" s="14"/>
      <c r="O9" s="14"/>
      <c r="P9" s="14"/>
      <c r="Q9" s="14">
        <f t="shared" ref="Q9:Q22" si="5">R9+S9+T9</f>
        <v>1000</v>
      </c>
      <c r="R9" s="14">
        <f>I9+N9</f>
        <v>132</v>
      </c>
      <c r="S9" s="14">
        <f t="shared" ref="S9:T9" si="6">J9+O9</f>
        <v>380</v>
      </c>
      <c r="T9" s="14">
        <f t="shared" si="6"/>
        <v>488</v>
      </c>
    </row>
    <row r="10" ht="24" customHeight="1" spans="1:20">
      <c r="A10" s="13">
        <v>9</v>
      </c>
      <c r="B10" s="13" t="s">
        <v>368</v>
      </c>
      <c r="C10" s="13" t="s">
        <v>106</v>
      </c>
      <c r="D10" s="13"/>
      <c r="E10" s="13"/>
      <c r="F10" s="13" t="s">
        <v>355</v>
      </c>
      <c r="G10" s="13" t="s">
        <v>367</v>
      </c>
      <c r="H10" s="14">
        <f t="shared" si="3"/>
        <v>400</v>
      </c>
      <c r="I10" s="14"/>
      <c r="J10" s="14"/>
      <c r="K10" s="14">
        <v>400</v>
      </c>
      <c r="L10" s="13"/>
      <c r="M10" s="14">
        <f t="shared" si="4"/>
        <v>0</v>
      </c>
      <c r="N10" s="14"/>
      <c r="O10" s="14"/>
      <c r="P10" s="14"/>
      <c r="Q10" s="14">
        <f t="shared" si="5"/>
        <v>400</v>
      </c>
      <c r="R10" s="14">
        <f t="shared" ref="R10:R22" si="7">I10+N10</f>
        <v>0</v>
      </c>
      <c r="S10" s="14">
        <f t="shared" ref="S10:S22" si="8">J10+O10</f>
        <v>0</v>
      </c>
      <c r="T10" s="14">
        <f t="shared" ref="T10:T22" si="9">K10+P10</f>
        <v>400</v>
      </c>
    </row>
    <row r="11" ht="24" customHeight="1" spans="1:20">
      <c r="A11" s="13">
        <v>10</v>
      </c>
      <c r="B11" s="13" t="s">
        <v>369</v>
      </c>
      <c r="C11" s="13" t="s">
        <v>106</v>
      </c>
      <c r="D11" s="13"/>
      <c r="E11" s="13"/>
      <c r="F11" s="13" t="s">
        <v>355</v>
      </c>
      <c r="G11" s="13" t="s">
        <v>367</v>
      </c>
      <c r="H11" s="14">
        <f t="shared" si="3"/>
        <v>431</v>
      </c>
      <c r="I11" s="14"/>
      <c r="J11" s="14"/>
      <c r="K11" s="14">
        <v>431</v>
      </c>
      <c r="L11" s="13"/>
      <c r="M11" s="14">
        <f t="shared" si="4"/>
        <v>0</v>
      </c>
      <c r="N11" s="14"/>
      <c r="O11" s="14"/>
      <c r="P11" s="14"/>
      <c r="Q11" s="14">
        <f t="shared" si="5"/>
        <v>431</v>
      </c>
      <c r="R11" s="14">
        <f t="shared" si="7"/>
        <v>0</v>
      </c>
      <c r="S11" s="14">
        <f t="shared" si="8"/>
        <v>0</v>
      </c>
      <c r="T11" s="14">
        <f t="shared" si="9"/>
        <v>431</v>
      </c>
    </row>
    <row r="12" ht="24" customHeight="1" spans="1:20">
      <c r="A12" s="13">
        <v>11</v>
      </c>
      <c r="B12" s="13" t="s">
        <v>370</v>
      </c>
      <c r="C12" s="13" t="s">
        <v>106</v>
      </c>
      <c r="D12" s="13"/>
      <c r="E12" s="13"/>
      <c r="F12" s="13" t="s">
        <v>429</v>
      </c>
      <c r="G12" s="13" t="s">
        <v>430</v>
      </c>
      <c r="H12" s="14">
        <f t="shared" si="3"/>
        <v>194</v>
      </c>
      <c r="I12" s="14">
        <v>22</v>
      </c>
      <c r="J12" s="14">
        <v>72</v>
      </c>
      <c r="K12" s="14">
        <v>100</v>
      </c>
      <c r="L12" s="13" t="s">
        <v>431</v>
      </c>
      <c r="M12" s="14">
        <f t="shared" si="4"/>
        <v>42.61</v>
      </c>
      <c r="N12" s="14"/>
      <c r="O12" s="14"/>
      <c r="P12" s="14">
        <v>42.61</v>
      </c>
      <c r="Q12" s="14">
        <f t="shared" si="5"/>
        <v>236.61</v>
      </c>
      <c r="R12" s="14">
        <f t="shared" si="7"/>
        <v>22</v>
      </c>
      <c r="S12" s="14">
        <f t="shared" si="8"/>
        <v>72</v>
      </c>
      <c r="T12" s="14">
        <f t="shared" si="9"/>
        <v>142.61</v>
      </c>
    </row>
    <row r="13" ht="24" customHeight="1" spans="1:20">
      <c r="A13" s="13">
        <v>12</v>
      </c>
      <c r="B13" s="13" t="s">
        <v>371</v>
      </c>
      <c r="C13" s="13" t="s">
        <v>106</v>
      </c>
      <c r="D13" s="13"/>
      <c r="E13" s="13"/>
      <c r="F13" s="13" t="s">
        <v>355</v>
      </c>
      <c r="G13" s="13" t="s">
        <v>367</v>
      </c>
      <c r="H13" s="14">
        <f t="shared" si="3"/>
        <v>13.9</v>
      </c>
      <c r="I13" s="14"/>
      <c r="J13" s="14"/>
      <c r="K13" s="14">
        <v>13.9</v>
      </c>
      <c r="L13" s="13"/>
      <c r="M13" s="14">
        <f t="shared" si="4"/>
        <v>0</v>
      </c>
      <c r="N13" s="14"/>
      <c r="O13" s="14"/>
      <c r="P13" s="14"/>
      <c r="Q13" s="14">
        <f t="shared" si="5"/>
        <v>13.9</v>
      </c>
      <c r="R13" s="14">
        <f t="shared" si="7"/>
        <v>0</v>
      </c>
      <c r="S13" s="14">
        <f t="shared" si="8"/>
        <v>0</v>
      </c>
      <c r="T13" s="14">
        <f t="shared" si="9"/>
        <v>13.9</v>
      </c>
    </row>
    <row r="14" ht="24" customHeight="1" spans="1:20">
      <c r="A14" s="13">
        <v>3</v>
      </c>
      <c r="B14" s="13" t="s">
        <v>398</v>
      </c>
      <c r="C14" s="13" t="s">
        <v>106</v>
      </c>
      <c r="D14" s="13"/>
      <c r="E14" s="13"/>
      <c r="F14" s="13" t="s">
        <v>355</v>
      </c>
      <c r="G14" s="13" t="s">
        <v>432</v>
      </c>
      <c r="H14" s="14">
        <f t="shared" ref="H14:H22" si="10">I14+J14+K14</f>
        <v>398</v>
      </c>
      <c r="I14" s="14"/>
      <c r="J14" s="14"/>
      <c r="K14" s="14">
        <v>398</v>
      </c>
      <c r="L14" s="13" t="s">
        <v>433</v>
      </c>
      <c r="M14" s="14">
        <f t="shared" si="4"/>
        <v>-205.668936</v>
      </c>
      <c r="N14" s="14"/>
      <c r="O14" s="14"/>
      <c r="P14" s="14">
        <f>-100+-105.668936</f>
        <v>-205.668936</v>
      </c>
      <c r="Q14" s="14">
        <f t="shared" si="5"/>
        <v>192.331064</v>
      </c>
      <c r="R14" s="14">
        <f t="shared" si="7"/>
        <v>0</v>
      </c>
      <c r="S14" s="14">
        <f t="shared" si="8"/>
        <v>0</v>
      </c>
      <c r="T14" s="14">
        <f t="shared" si="9"/>
        <v>192.331064</v>
      </c>
    </row>
    <row r="15" ht="35.25" customHeight="1" spans="1:20">
      <c r="A15" s="13">
        <v>4</v>
      </c>
      <c r="B15" s="13" t="s">
        <v>399</v>
      </c>
      <c r="C15" s="13" t="s">
        <v>106</v>
      </c>
      <c r="D15" s="13"/>
      <c r="E15" s="13"/>
      <c r="F15" s="13" t="s">
        <v>429</v>
      </c>
      <c r="G15" s="13" t="s">
        <v>434</v>
      </c>
      <c r="H15" s="14">
        <f t="shared" si="10"/>
        <v>0</v>
      </c>
      <c r="I15" s="14"/>
      <c r="J15" s="14"/>
      <c r="K15" s="14"/>
      <c r="L15" s="13" t="s">
        <v>434</v>
      </c>
      <c r="M15" s="14">
        <f t="shared" si="4"/>
        <v>248.377547</v>
      </c>
      <c r="N15" s="14">
        <v>26.810477</v>
      </c>
      <c r="O15" s="14">
        <v>45.836467</v>
      </c>
      <c r="P15" s="14">
        <v>175.730603</v>
      </c>
      <c r="Q15" s="14">
        <f t="shared" si="5"/>
        <v>248.377547</v>
      </c>
      <c r="R15" s="14">
        <f t="shared" si="7"/>
        <v>26.810477</v>
      </c>
      <c r="S15" s="14">
        <f t="shared" si="8"/>
        <v>45.836467</v>
      </c>
      <c r="T15" s="14">
        <f t="shared" si="9"/>
        <v>175.730603</v>
      </c>
    </row>
    <row r="16" ht="30" customHeight="1" spans="1:20">
      <c r="A16" s="13">
        <v>5</v>
      </c>
      <c r="B16" s="13" t="s">
        <v>400</v>
      </c>
      <c r="C16" s="13" t="s">
        <v>106</v>
      </c>
      <c r="D16" s="13"/>
      <c r="E16" s="13"/>
      <c r="F16" s="13" t="s">
        <v>429</v>
      </c>
      <c r="G16" s="13" t="s">
        <v>435</v>
      </c>
      <c r="H16" s="14">
        <f t="shared" si="10"/>
        <v>119.806914</v>
      </c>
      <c r="I16" s="14"/>
      <c r="J16" s="14"/>
      <c r="K16" s="14">
        <v>119.806914</v>
      </c>
      <c r="L16" s="13" t="s">
        <v>436</v>
      </c>
      <c r="M16" s="14">
        <f t="shared" si="4"/>
        <v>-52.561534</v>
      </c>
      <c r="N16" s="14"/>
      <c r="O16" s="14"/>
      <c r="P16" s="14">
        <f>-42.61+-9.951534</f>
        <v>-52.561534</v>
      </c>
      <c r="Q16" s="14">
        <f t="shared" si="5"/>
        <v>67.24538</v>
      </c>
      <c r="R16" s="14">
        <f t="shared" si="7"/>
        <v>0</v>
      </c>
      <c r="S16" s="14">
        <f t="shared" si="8"/>
        <v>0</v>
      </c>
      <c r="T16" s="14">
        <f t="shared" si="9"/>
        <v>67.24538</v>
      </c>
    </row>
    <row r="17" ht="24" customHeight="1" spans="1:20">
      <c r="A17" s="13">
        <v>6</v>
      </c>
      <c r="B17" s="13" t="s">
        <v>401</v>
      </c>
      <c r="C17" s="13" t="s">
        <v>106</v>
      </c>
      <c r="D17" s="13"/>
      <c r="E17" s="13"/>
      <c r="F17" s="13" t="s">
        <v>355</v>
      </c>
      <c r="G17" s="13" t="s">
        <v>437</v>
      </c>
      <c r="H17" s="14">
        <f t="shared" si="10"/>
        <v>107</v>
      </c>
      <c r="I17" s="14">
        <v>107</v>
      </c>
      <c r="J17" s="14"/>
      <c r="K17" s="14"/>
      <c r="L17" s="13" t="s">
        <v>434</v>
      </c>
      <c r="M17" s="14">
        <f t="shared" si="4"/>
        <v>-26.004522</v>
      </c>
      <c r="N17" s="14">
        <v>-26.004522</v>
      </c>
      <c r="O17" s="14"/>
      <c r="P17" s="14"/>
      <c r="Q17" s="14">
        <f t="shared" si="5"/>
        <v>80.995478</v>
      </c>
      <c r="R17" s="14">
        <f t="shared" si="7"/>
        <v>80.995478</v>
      </c>
      <c r="S17" s="14">
        <f t="shared" si="8"/>
        <v>0</v>
      </c>
      <c r="T17" s="14">
        <f t="shared" si="9"/>
        <v>0</v>
      </c>
    </row>
    <row r="18" ht="24" customHeight="1" spans="1:20">
      <c r="A18" s="13">
        <v>7</v>
      </c>
      <c r="B18" s="13" t="s">
        <v>402</v>
      </c>
      <c r="C18" s="13" t="s">
        <v>106</v>
      </c>
      <c r="D18" s="13"/>
      <c r="E18" s="13"/>
      <c r="F18" s="13" t="s">
        <v>355</v>
      </c>
      <c r="G18" s="13" t="s">
        <v>432</v>
      </c>
      <c r="H18" s="14">
        <f t="shared" si="10"/>
        <v>378</v>
      </c>
      <c r="I18" s="14"/>
      <c r="J18" s="14">
        <v>378</v>
      </c>
      <c r="K18" s="14"/>
      <c r="L18" s="13" t="s">
        <v>433</v>
      </c>
      <c r="M18" s="14">
        <f t="shared" si="4"/>
        <v>-87.082176</v>
      </c>
      <c r="N18" s="14"/>
      <c r="O18" s="14">
        <f>-60+-27.082176</f>
        <v>-87.082176</v>
      </c>
      <c r="P18" s="14"/>
      <c r="Q18" s="14">
        <f t="shared" si="5"/>
        <v>290.917824</v>
      </c>
      <c r="R18" s="14">
        <f t="shared" si="7"/>
        <v>0</v>
      </c>
      <c r="S18" s="14">
        <f t="shared" si="8"/>
        <v>290.917824</v>
      </c>
      <c r="T18" s="14">
        <f t="shared" si="9"/>
        <v>0</v>
      </c>
    </row>
    <row r="19" ht="24" customHeight="1" spans="1:20">
      <c r="A19" s="13">
        <v>8</v>
      </c>
      <c r="B19" s="13" t="s">
        <v>403</v>
      </c>
      <c r="C19" s="13" t="s">
        <v>106</v>
      </c>
      <c r="D19" s="13"/>
      <c r="E19" s="13"/>
      <c r="F19" s="13" t="s">
        <v>364</v>
      </c>
      <c r="G19" s="13" t="s">
        <v>436</v>
      </c>
      <c r="H19" s="14">
        <f t="shared" si="10"/>
        <v>48</v>
      </c>
      <c r="I19" s="14">
        <v>18</v>
      </c>
      <c r="J19" s="14">
        <v>30</v>
      </c>
      <c r="K19" s="14"/>
      <c r="L19" s="13" t="s">
        <v>434</v>
      </c>
      <c r="M19" s="14">
        <f t="shared" si="4"/>
        <v>-19.560246</v>
      </c>
      <c r="N19" s="14">
        <v>-0.805955</v>
      </c>
      <c r="O19" s="14">
        <v>-18.754291</v>
      </c>
      <c r="P19" s="14"/>
      <c r="Q19" s="14">
        <f t="shared" si="5"/>
        <v>28.439754</v>
      </c>
      <c r="R19" s="14">
        <f t="shared" si="7"/>
        <v>17.194045</v>
      </c>
      <c r="S19" s="14">
        <f t="shared" si="8"/>
        <v>11.245709</v>
      </c>
      <c r="T19" s="14">
        <f t="shared" si="9"/>
        <v>0</v>
      </c>
    </row>
    <row r="20" ht="24" customHeight="1" spans="1:20">
      <c r="A20" s="13">
        <v>9</v>
      </c>
      <c r="B20" s="13" t="s">
        <v>404</v>
      </c>
      <c r="C20" s="13" t="s">
        <v>106</v>
      </c>
      <c r="D20" s="13"/>
      <c r="E20" s="13"/>
      <c r="F20" s="13" t="s">
        <v>355</v>
      </c>
      <c r="G20" s="13" t="s">
        <v>433</v>
      </c>
      <c r="H20" s="14">
        <f t="shared" si="10"/>
        <v>0</v>
      </c>
      <c r="I20" s="14"/>
      <c r="J20" s="14"/>
      <c r="K20" s="14"/>
      <c r="L20" s="13" t="s">
        <v>433</v>
      </c>
      <c r="M20" s="14">
        <f t="shared" si="4"/>
        <v>99.889867</v>
      </c>
      <c r="N20" s="14"/>
      <c r="O20" s="14">
        <v>60</v>
      </c>
      <c r="P20" s="14">
        <f>100+-60.110133</f>
        <v>39.889867</v>
      </c>
      <c r="Q20" s="14">
        <f t="shared" si="5"/>
        <v>99.889867</v>
      </c>
      <c r="R20" s="14">
        <f t="shared" si="7"/>
        <v>0</v>
      </c>
      <c r="S20" s="14">
        <f t="shared" si="8"/>
        <v>60</v>
      </c>
      <c r="T20" s="14">
        <f t="shared" si="9"/>
        <v>39.889867</v>
      </c>
    </row>
    <row r="21" ht="24" customHeight="1" spans="1:20">
      <c r="A21" s="13">
        <v>10</v>
      </c>
      <c r="B21" s="13" t="s">
        <v>405</v>
      </c>
      <c r="C21" s="13" t="s">
        <v>106</v>
      </c>
      <c r="D21" s="13"/>
      <c r="E21" s="13"/>
      <c r="F21" s="13" t="s">
        <v>355</v>
      </c>
      <c r="G21" s="13" t="s">
        <v>367</v>
      </c>
      <c r="H21" s="14">
        <f t="shared" si="10"/>
        <v>22.609793</v>
      </c>
      <c r="I21" s="14"/>
      <c r="J21" s="14"/>
      <c r="K21" s="14">
        <v>22.609793</v>
      </c>
      <c r="L21" s="13"/>
      <c r="M21" s="14">
        <f t="shared" si="4"/>
        <v>0</v>
      </c>
      <c r="N21" s="14"/>
      <c r="O21" s="14"/>
      <c r="P21" s="14"/>
      <c r="Q21" s="14">
        <f t="shared" si="5"/>
        <v>22.609793</v>
      </c>
      <c r="R21" s="14">
        <f t="shared" si="7"/>
        <v>0</v>
      </c>
      <c r="S21" s="14">
        <f t="shared" si="8"/>
        <v>0</v>
      </c>
      <c r="T21" s="14">
        <f t="shared" si="9"/>
        <v>22.609793</v>
      </c>
    </row>
    <row r="22" ht="24" customHeight="1" spans="1:20">
      <c r="A22" s="13">
        <v>11</v>
      </c>
      <c r="B22" s="13" t="s">
        <v>406</v>
      </c>
      <c r="C22" s="13" t="s">
        <v>106</v>
      </c>
      <c r="D22" s="13"/>
      <c r="E22" s="13"/>
      <c r="F22" s="13" t="s">
        <v>355</v>
      </c>
      <c r="G22" s="13" t="s">
        <v>367</v>
      </c>
      <c r="H22" s="14">
        <f t="shared" si="10"/>
        <v>26.683293</v>
      </c>
      <c r="I22" s="14"/>
      <c r="J22" s="14"/>
      <c r="K22" s="14">
        <v>26.683293</v>
      </c>
      <c r="L22" s="13"/>
      <c r="M22" s="14">
        <f t="shared" si="4"/>
        <v>0</v>
      </c>
      <c r="N22" s="14"/>
      <c r="O22" s="14"/>
      <c r="P22" s="14"/>
      <c r="Q22" s="14">
        <f t="shared" si="5"/>
        <v>26.683293</v>
      </c>
      <c r="R22" s="14">
        <f t="shared" si="7"/>
        <v>0</v>
      </c>
      <c r="S22" s="14">
        <f t="shared" si="8"/>
        <v>0</v>
      </c>
      <c r="T22" s="14">
        <f t="shared" si="9"/>
        <v>26.683293</v>
      </c>
    </row>
    <row r="23" spans="1:11">
      <c r="A23" s="15" t="s">
        <v>191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1:11">
      <c r="K26" s="18"/>
    </row>
  </sheetData>
  <mergeCells count="25">
    <mergeCell ref="A1:C1"/>
    <mergeCell ref="A2:K2"/>
    <mergeCell ref="A3:B3"/>
    <mergeCell ref="H4:K4"/>
    <mergeCell ref="M4:P4"/>
    <mergeCell ref="Q4:T4"/>
    <mergeCell ref="I5:K5"/>
    <mergeCell ref="N5:P5"/>
    <mergeCell ref="R5:T5"/>
    <mergeCell ref="I6:K6"/>
    <mergeCell ref="N6:P6"/>
    <mergeCell ref="R6:T6"/>
    <mergeCell ref="A8:B8"/>
    <mergeCell ref="A4:A7"/>
    <mergeCell ref="B4:B7"/>
    <mergeCell ref="C4:C7"/>
    <mergeCell ref="D4:D7"/>
    <mergeCell ref="E4:E7"/>
    <mergeCell ref="F4:F7"/>
    <mergeCell ref="G4:G7"/>
    <mergeCell ref="H5:H7"/>
    <mergeCell ref="L4:L7"/>
    <mergeCell ref="M5:M7"/>
    <mergeCell ref="Q5:Q7"/>
    <mergeCell ref="A23:K25"/>
  </mergeCells>
  <pageMargins left="0.707638888888889" right="0.707638888888889" top="0.747916666666667" bottom="0.747916666666667" header="0.313888888888889" footer="0.313888888888889"/>
  <pageSetup paperSize="9" scale="6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1"/>
  <sheetViews>
    <sheetView workbookViewId="0">
      <selection activeCell="F31" sqref="F31"/>
    </sheetView>
  </sheetViews>
  <sheetFormatPr defaultColWidth="9" defaultRowHeight="13.5"/>
  <cols>
    <col min="2" max="2" width="18.8833333333333" customWidth="1"/>
    <col min="6" max="6" width="15.6333333333333" customWidth="1"/>
    <col min="7" max="7" width="22.2583333333333" customWidth="1"/>
    <col min="8" max="8" width="13.2583333333333" customWidth="1"/>
    <col min="9" max="11" width="10.2583333333333" customWidth="1"/>
    <col min="12" max="12" width="11.2583333333333" customWidth="1"/>
    <col min="13" max="15" width="10.2583333333333" customWidth="1"/>
    <col min="16" max="16" width="13.2583333333333" customWidth="1"/>
  </cols>
  <sheetData>
    <row r="1" spans="1:19">
      <c r="A1" s="6" t="s">
        <v>3</v>
      </c>
      <c r="B1" s="6" t="s">
        <v>4</v>
      </c>
      <c r="C1" s="6" t="s">
        <v>5</v>
      </c>
      <c r="D1" s="6" t="s">
        <v>6</v>
      </c>
      <c r="E1" s="6" t="s">
        <v>79</v>
      </c>
      <c r="F1" s="6" t="s">
        <v>7</v>
      </c>
      <c r="G1" s="6" t="s">
        <v>80</v>
      </c>
      <c r="H1" s="7" t="s">
        <v>8</v>
      </c>
      <c r="I1" s="16"/>
      <c r="J1" s="16"/>
      <c r="K1" s="16"/>
      <c r="L1" s="7" t="s">
        <v>8</v>
      </c>
      <c r="M1" s="16"/>
      <c r="N1" s="16"/>
      <c r="O1" s="16"/>
      <c r="P1" s="7" t="s">
        <v>8</v>
      </c>
      <c r="Q1" s="16"/>
      <c r="R1" s="16"/>
      <c r="S1" s="16"/>
    </row>
    <row r="2" spans="1:19">
      <c r="A2" s="8"/>
      <c r="B2" s="8"/>
      <c r="C2" s="8"/>
      <c r="D2" s="8"/>
      <c r="E2" s="8"/>
      <c r="F2" s="8"/>
      <c r="G2" s="8"/>
      <c r="H2" s="9" t="s">
        <v>16</v>
      </c>
      <c r="I2" s="17" t="s">
        <v>17</v>
      </c>
      <c r="J2" s="16"/>
      <c r="K2" s="16"/>
      <c r="L2" s="9" t="s">
        <v>16</v>
      </c>
      <c r="M2" s="17" t="s">
        <v>17</v>
      </c>
      <c r="N2" s="16"/>
      <c r="O2" s="16"/>
      <c r="P2" s="9" t="s">
        <v>16</v>
      </c>
      <c r="Q2" s="17" t="s">
        <v>17</v>
      </c>
      <c r="R2" s="16"/>
      <c r="S2" s="16"/>
    </row>
    <row r="3" spans="1:19">
      <c r="A3" s="8"/>
      <c r="B3" s="8"/>
      <c r="C3" s="8"/>
      <c r="D3" s="8"/>
      <c r="E3" s="8"/>
      <c r="F3" s="8"/>
      <c r="G3" s="8"/>
      <c r="H3" s="10"/>
      <c r="I3" s="9" t="s">
        <v>81</v>
      </c>
      <c r="J3" s="10"/>
      <c r="K3" s="10"/>
      <c r="L3" s="10"/>
      <c r="M3" s="9" t="s">
        <v>81</v>
      </c>
      <c r="N3" s="10"/>
      <c r="O3" s="10"/>
      <c r="P3" s="10"/>
      <c r="Q3" s="9" t="s">
        <v>81</v>
      </c>
      <c r="R3" s="10"/>
      <c r="S3" s="10"/>
    </row>
    <row r="4" spans="1:19">
      <c r="A4" s="11"/>
      <c r="B4" s="11"/>
      <c r="C4" s="11"/>
      <c r="D4" s="11"/>
      <c r="E4" s="11"/>
      <c r="F4" s="11"/>
      <c r="G4" s="11"/>
      <c r="H4" s="10"/>
      <c r="I4" s="9" t="s">
        <v>25</v>
      </c>
      <c r="J4" s="9" t="s">
        <v>26</v>
      </c>
      <c r="K4" s="9" t="s">
        <v>27</v>
      </c>
      <c r="L4" s="10"/>
      <c r="M4" s="9" t="s">
        <v>25</v>
      </c>
      <c r="N4" s="9" t="s">
        <v>26</v>
      </c>
      <c r="O4" s="9" t="s">
        <v>27</v>
      </c>
      <c r="P4" s="10"/>
      <c r="Q4" s="9" t="s">
        <v>25</v>
      </c>
      <c r="R4" s="9" t="s">
        <v>26</v>
      </c>
      <c r="S4" s="9" t="s">
        <v>27</v>
      </c>
    </row>
    <row r="5" spans="1:19">
      <c r="A5" s="11"/>
      <c r="B5" s="11"/>
      <c r="C5" s="11"/>
      <c r="D5" s="11"/>
      <c r="E5" s="11"/>
      <c r="F5" s="11"/>
      <c r="G5" s="11"/>
      <c r="H5" s="54">
        <f>I5+J5+K5</f>
        <v>1044</v>
      </c>
      <c r="I5" s="55">
        <f t="shared" ref="I5:K5" si="0">I6+I7+I8+I9+I10+I11</f>
        <v>932</v>
      </c>
      <c r="J5" s="55">
        <f t="shared" si="0"/>
        <v>112</v>
      </c>
      <c r="K5" s="55">
        <f t="shared" si="0"/>
        <v>0</v>
      </c>
      <c r="L5" s="54">
        <f>M5+N5+O5</f>
        <v>0</v>
      </c>
      <c r="M5" s="55">
        <f t="shared" ref="M5:O5" si="1">M6+M7+M8+M9+M10+M11</f>
        <v>0</v>
      </c>
      <c r="N5" s="55">
        <f t="shared" si="1"/>
        <v>0</v>
      </c>
      <c r="O5" s="55">
        <f t="shared" si="1"/>
        <v>0</v>
      </c>
      <c r="P5" s="54">
        <f>Q5+R5+S5</f>
        <v>1044</v>
      </c>
      <c r="Q5" s="55">
        <f t="shared" ref="Q5:S5" si="2">Q6+Q7+Q8+Q9+Q10+Q11</f>
        <v>932</v>
      </c>
      <c r="R5" s="55">
        <f t="shared" si="2"/>
        <v>112</v>
      </c>
      <c r="S5" s="55">
        <f t="shared" si="2"/>
        <v>0</v>
      </c>
    </row>
    <row r="6" ht="39.75" customHeight="1" spans="1:19">
      <c r="A6" s="13">
        <v>1</v>
      </c>
      <c r="B6" s="13" t="s">
        <v>354</v>
      </c>
      <c r="C6" s="13" t="s">
        <v>85</v>
      </c>
      <c r="D6" s="13"/>
      <c r="E6" s="13"/>
      <c r="F6" s="13" t="s">
        <v>355</v>
      </c>
      <c r="G6" s="13" t="s">
        <v>356</v>
      </c>
      <c r="H6" s="14">
        <f t="shared" ref="H6:H11" si="3">I6+J6+K6</f>
        <v>289.9</v>
      </c>
      <c r="I6" s="14">
        <v>289.9</v>
      </c>
      <c r="J6" s="14"/>
      <c r="K6" s="14"/>
      <c r="L6" s="14">
        <f t="shared" ref="L6:L11" si="4">M6+N6+O6</f>
        <v>-99.48</v>
      </c>
      <c r="M6" s="14">
        <v>-99.48</v>
      </c>
      <c r="N6" s="14"/>
      <c r="O6" s="14"/>
      <c r="P6" s="14">
        <f t="shared" ref="P6:P11" si="5">Q6+R6+S6</f>
        <v>190.42</v>
      </c>
      <c r="Q6" s="14">
        <f>I6+M6</f>
        <v>190.42</v>
      </c>
      <c r="R6" s="14">
        <f t="shared" ref="R6:S6" si="6">J6+N6</f>
        <v>0</v>
      </c>
      <c r="S6" s="14">
        <f t="shared" si="6"/>
        <v>0</v>
      </c>
    </row>
    <row r="7" ht="39.75" customHeight="1" spans="1:19">
      <c r="A7" s="13">
        <v>2</v>
      </c>
      <c r="B7" s="13" t="s">
        <v>357</v>
      </c>
      <c r="C7" s="13" t="s">
        <v>85</v>
      </c>
      <c r="D7" s="13"/>
      <c r="E7" s="13"/>
      <c r="F7" s="13" t="s">
        <v>355</v>
      </c>
      <c r="G7" s="13" t="s">
        <v>438</v>
      </c>
      <c r="H7" s="14">
        <f t="shared" si="3"/>
        <v>190.8</v>
      </c>
      <c r="I7" s="14">
        <v>190.8</v>
      </c>
      <c r="J7" s="14"/>
      <c r="K7" s="14"/>
      <c r="L7" s="14">
        <f t="shared" si="4"/>
        <v>-87</v>
      </c>
      <c r="M7" s="14">
        <v>-87</v>
      </c>
      <c r="N7" s="14"/>
      <c r="O7" s="14"/>
      <c r="P7" s="14">
        <f t="shared" si="5"/>
        <v>103.8</v>
      </c>
      <c r="Q7" s="14">
        <f t="shared" ref="Q7:Q11" si="7">I7+M7</f>
        <v>103.8</v>
      </c>
      <c r="R7" s="14">
        <f t="shared" ref="R7:R11" si="8">J7+N7</f>
        <v>0</v>
      </c>
      <c r="S7" s="14">
        <f t="shared" ref="S7:S11" si="9">K7+O7</f>
        <v>0</v>
      </c>
    </row>
    <row r="8" ht="39.75" customHeight="1" spans="1:19">
      <c r="A8" s="13">
        <v>3</v>
      </c>
      <c r="B8" s="13" t="s">
        <v>358</v>
      </c>
      <c r="C8" s="13" t="s">
        <v>85</v>
      </c>
      <c r="D8" s="13"/>
      <c r="E8" s="13"/>
      <c r="F8" s="13" t="s">
        <v>355</v>
      </c>
      <c r="G8" s="13" t="s">
        <v>438</v>
      </c>
      <c r="H8" s="14">
        <f t="shared" si="3"/>
        <v>345.2</v>
      </c>
      <c r="I8" s="14">
        <v>345.2</v>
      </c>
      <c r="J8" s="14"/>
      <c r="K8" s="14"/>
      <c r="L8" s="14">
        <f t="shared" si="4"/>
        <v>-127.05</v>
      </c>
      <c r="M8" s="14">
        <v>-127.05</v>
      </c>
      <c r="N8" s="14"/>
      <c r="O8" s="14"/>
      <c r="P8" s="14">
        <f t="shared" si="5"/>
        <v>218.15</v>
      </c>
      <c r="Q8" s="14">
        <f t="shared" si="7"/>
        <v>218.15</v>
      </c>
      <c r="R8" s="14">
        <f t="shared" si="8"/>
        <v>0</v>
      </c>
      <c r="S8" s="14">
        <f t="shared" si="9"/>
        <v>0</v>
      </c>
    </row>
    <row r="9" ht="49.5" customHeight="1" spans="1:20">
      <c r="A9" s="13">
        <v>4</v>
      </c>
      <c r="B9" s="13" t="s">
        <v>359</v>
      </c>
      <c r="C9" s="13" t="s">
        <v>85</v>
      </c>
      <c r="D9" s="13"/>
      <c r="E9" s="13"/>
      <c r="F9" s="13" t="s">
        <v>429</v>
      </c>
      <c r="G9" s="13" t="s">
        <v>439</v>
      </c>
      <c r="H9" s="14">
        <f t="shared" si="3"/>
        <v>141.1</v>
      </c>
      <c r="I9" s="14">
        <f>91.1+15</f>
        <v>106.1</v>
      </c>
      <c r="J9" s="14">
        <v>35</v>
      </c>
      <c r="K9" s="14"/>
      <c r="L9" s="14">
        <f t="shared" si="4"/>
        <v>313.956417</v>
      </c>
      <c r="M9" s="14">
        <f>99.48+87+127.05</f>
        <v>313.53</v>
      </c>
      <c r="N9" s="14">
        <v>0.426417</v>
      </c>
      <c r="O9" s="14"/>
      <c r="P9" s="14">
        <f t="shared" si="5"/>
        <v>455.056417</v>
      </c>
      <c r="Q9" s="14">
        <f t="shared" si="7"/>
        <v>419.63</v>
      </c>
      <c r="R9" s="14">
        <f t="shared" si="8"/>
        <v>35.426417</v>
      </c>
      <c r="S9" s="14">
        <f t="shared" si="9"/>
        <v>0</v>
      </c>
      <c r="T9" s="18" t="e">
        <f>Q9-#REF!</f>
        <v>#REF!</v>
      </c>
    </row>
    <row r="10" ht="39.75" customHeight="1" spans="1:19">
      <c r="A10" s="13">
        <v>1</v>
      </c>
      <c r="B10" s="13" t="s">
        <v>396</v>
      </c>
      <c r="C10" s="13" t="s">
        <v>85</v>
      </c>
      <c r="D10" s="13"/>
      <c r="E10" s="13"/>
      <c r="F10" s="13" t="s">
        <v>355</v>
      </c>
      <c r="G10" s="13" t="s">
        <v>438</v>
      </c>
      <c r="H10" s="14">
        <f t="shared" si="3"/>
        <v>41</v>
      </c>
      <c r="I10" s="14"/>
      <c r="J10" s="14">
        <v>41</v>
      </c>
      <c r="K10" s="14"/>
      <c r="L10" s="14">
        <f t="shared" si="4"/>
        <v>-4.315296</v>
      </c>
      <c r="M10" s="14"/>
      <c r="N10" s="14">
        <f>-3.888879+-0.426417</f>
        <v>-4.315296</v>
      </c>
      <c r="O10" s="14"/>
      <c r="P10" s="14">
        <f t="shared" si="5"/>
        <v>36.684704</v>
      </c>
      <c r="Q10" s="14">
        <f t="shared" si="7"/>
        <v>0</v>
      </c>
      <c r="R10" s="14">
        <f t="shared" si="8"/>
        <v>36.684704</v>
      </c>
      <c r="S10" s="14">
        <f t="shared" si="9"/>
        <v>0</v>
      </c>
    </row>
    <row r="11" ht="39.75" customHeight="1" spans="1:19">
      <c r="A11" s="13">
        <v>2</v>
      </c>
      <c r="B11" s="13" t="s">
        <v>397</v>
      </c>
      <c r="C11" s="13" t="s">
        <v>85</v>
      </c>
      <c r="D11" s="13"/>
      <c r="E11" s="13"/>
      <c r="F11" s="13" t="s">
        <v>355</v>
      </c>
      <c r="G11" s="13" t="s">
        <v>356</v>
      </c>
      <c r="H11" s="14">
        <f t="shared" si="3"/>
        <v>36</v>
      </c>
      <c r="I11" s="14"/>
      <c r="J11" s="14">
        <v>36</v>
      </c>
      <c r="K11" s="14"/>
      <c r="L11" s="14">
        <f t="shared" si="4"/>
        <v>3.888879</v>
      </c>
      <c r="M11" s="14"/>
      <c r="N11" s="14">
        <v>3.888879</v>
      </c>
      <c r="O11" s="14"/>
      <c r="P11" s="14">
        <f t="shared" si="5"/>
        <v>39.888879</v>
      </c>
      <c r="Q11" s="14">
        <f t="shared" si="7"/>
        <v>0</v>
      </c>
      <c r="R11" s="14">
        <f t="shared" si="8"/>
        <v>39.888879</v>
      </c>
      <c r="S11" s="14">
        <f t="shared" si="9"/>
        <v>0</v>
      </c>
    </row>
  </sheetData>
  <mergeCells count="19">
    <mergeCell ref="H1:K1"/>
    <mergeCell ref="L1:O1"/>
    <mergeCell ref="P1:S1"/>
    <mergeCell ref="I2:K2"/>
    <mergeCell ref="M2:O2"/>
    <mergeCell ref="Q2:S2"/>
    <mergeCell ref="I3:K3"/>
    <mergeCell ref="M3:O3"/>
    <mergeCell ref="Q3:S3"/>
    <mergeCell ref="A1:A4"/>
    <mergeCell ref="B1:B4"/>
    <mergeCell ref="C1:C4"/>
    <mergeCell ref="D1:D4"/>
    <mergeCell ref="E1:E4"/>
    <mergeCell ref="F1:F4"/>
    <mergeCell ref="G1:G4"/>
    <mergeCell ref="H2:H4"/>
    <mergeCell ref="L2:L4"/>
    <mergeCell ref="P2:P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G22"/>
  <sheetViews>
    <sheetView workbookViewId="0">
      <selection activeCell="U17" sqref="U17"/>
    </sheetView>
  </sheetViews>
  <sheetFormatPr defaultColWidth="9" defaultRowHeight="13.5" outlineLevelCol="6"/>
  <cols>
    <col min="2" max="2" width="16.1333333333333" customWidth="1"/>
    <col min="3" max="3" width="10.5" customWidth="1"/>
    <col min="4" max="4" width="13.8833333333333" customWidth="1"/>
    <col min="5" max="6" width="12.7583333333333" customWidth="1"/>
  </cols>
  <sheetData>
    <row r="1" spans="2:7">
      <c r="B1" s="18">
        <f>B2+B3+B4+B5+B6+B7+B8</f>
        <v>2585995.62</v>
      </c>
      <c r="D1">
        <v>598761.91</v>
      </c>
      <c r="G1">
        <f>D1-584600</f>
        <v>14161.91</v>
      </c>
    </row>
    <row r="2" spans="2:6">
      <c r="B2" s="47">
        <v>151776.57</v>
      </c>
      <c r="C2" s="48">
        <v>0.0587</v>
      </c>
      <c r="D2" s="49">
        <f>D1*C2</f>
        <v>35147.324117</v>
      </c>
      <c r="E2">
        <v>35147.33</v>
      </c>
      <c r="F2">
        <v>35147.324117</v>
      </c>
    </row>
    <row r="3" spans="2:6">
      <c r="B3" s="47">
        <v>300626.44</v>
      </c>
      <c r="C3" s="48">
        <v>0.1162</v>
      </c>
      <c r="D3" s="50">
        <f>D1*C3</f>
        <v>69576.133942</v>
      </c>
      <c r="E3">
        <v>69576.13</v>
      </c>
      <c r="F3">
        <v>69576.133942</v>
      </c>
    </row>
    <row r="4" spans="2:6">
      <c r="B4" s="47">
        <v>217108.13</v>
      </c>
      <c r="C4" s="48">
        <v>0.084</v>
      </c>
      <c r="D4" s="50">
        <f>D1*C4</f>
        <v>50296.00044</v>
      </c>
      <c r="E4">
        <v>50296</v>
      </c>
      <c r="F4">
        <v>50296.00044</v>
      </c>
    </row>
    <row r="5" spans="2:6">
      <c r="B5" s="47">
        <v>195948.44</v>
      </c>
      <c r="C5" s="48">
        <v>0.0758</v>
      </c>
      <c r="D5" s="50">
        <f>D1*C5</f>
        <v>45386.152778</v>
      </c>
      <c r="E5">
        <v>45386.15</v>
      </c>
      <c r="F5">
        <v>45386.152778</v>
      </c>
    </row>
    <row r="6" spans="2:6">
      <c r="B6" s="47">
        <v>276614.49</v>
      </c>
      <c r="C6" s="48">
        <v>0.107</v>
      </c>
      <c r="D6" s="50">
        <f>D1*C6</f>
        <v>64067.52437</v>
      </c>
      <c r="E6">
        <v>64067.52</v>
      </c>
      <c r="F6">
        <v>64067.52437</v>
      </c>
    </row>
    <row r="7" spans="2:6">
      <c r="B7" s="47">
        <v>1247804.11</v>
      </c>
      <c r="C7" s="48">
        <v>0.4825</v>
      </c>
      <c r="D7" s="50">
        <f>D1*C7</f>
        <v>288902.621575</v>
      </c>
      <c r="E7">
        <v>288902.62</v>
      </c>
      <c r="F7">
        <v>288902.621575</v>
      </c>
    </row>
    <row r="8" spans="2:6">
      <c r="B8" s="47">
        <v>196117.44</v>
      </c>
      <c r="C8" s="48">
        <v>0.0758</v>
      </c>
      <c r="D8" s="50">
        <f>D1*C8</f>
        <v>45386.152778</v>
      </c>
      <c r="E8" s="50">
        <v>45386.16</v>
      </c>
      <c r="F8">
        <v>45386.152778</v>
      </c>
    </row>
    <row r="12" spans="2:4">
      <c r="B12" s="18">
        <f>B13+B14+B15+B16+B17</f>
        <v>2117484.45</v>
      </c>
      <c r="D12" s="51">
        <v>527787.2</v>
      </c>
    </row>
    <row r="13" spans="2:5">
      <c r="B13">
        <v>771891.77</v>
      </c>
      <c r="C13" s="48">
        <v>0.3645</v>
      </c>
      <c r="D13" s="49">
        <f>D12*C13</f>
        <v>192378.4344</v>
      </c>
      <c r="E13">
        <v>192378.43</v>
      </c>
    </row>
    <row r="14" spans="2:5">
      <c r="B14">
        <v>307898.4</v>
      </c>
      <c r="C14" s="48">
        <v>0.1454</v>
      </c>
      <c r="D14" s="50">
        <f>D12*C14</f>
        <v>76740.25888</v>
      </c>
      <c r="E14">
        <v>76740.26</v>
      </c>
    </row>
    <row r="15" spans="2:5">
      <c r="B15">
        <v>677095.52</v>
      </c>
      <c r="C15" s="48">
        <v>0.3198</v>
      </c>
      <c r="D15" s="50">
        <f>D12*C15</f>
        <v>168786.34656</v>
      </c>
      <c r="E15">
        <v>168786.35</v>
      </c>
    </row>
    <row r="16" spans="2:5">
      <c r="B16">
        <v>360598.76</v>
      </c>
      <c r="C16" s="48">
        <v>0.1703</v>
      </c>
      <c r="D16" s="50">
        <f>D12*C16</f>
        <v>89882.16016</v>
      </c>
      <c r="E16">
        <v>89882.16</v>
      </c>
    </row>
    <row r="19" spans="2:4">
      <c r="B19" s="52">
        <v>2584164.22</v>
      </c>
      <c r="D19">
        <v>402497.87</v>
      </c>
    </row>
    <row r="20" spans="2:5">
      <c r="B20" s="53">
        <v>1118634.35</v>
      </c>
      <c r="C20" s="48">
        <f>B20/B19</f>
        <v>0.432880519489586</v>
      </c>
      <c r="D20" s="49">
        <f>D19*C20</f>
        <v>174233.487059052</v>
      </c>
      <c r="E20">
        <v>174233.49</v>
      </c>
    </row>
    <row r="21" spans="2:5">
      <c r="B21" s="53">
        <v>1140450.65</v>
      </c>
      <c r="C21" s="48">
        <f>B21/B19</f>
        <v>0.441322823516224</v>
      </c>
      <c r="D21" s="50">
        <f>D19*C21</f>
        <v>177631.496447666</v>
      </c>
      <c r="E21">
        <v>177631.5</v>
      </c>
    </row>
    <row r="22" spans="2:5">
      <c r="B22" s="53">
        <v>325079.22</v>
      </c>
      <c r="C22" s="48">
        <f>B22/B19</f>
        <v>0.125796656994191</v>
      </c>
      <c r="D22" s="50">
        <f>D19*C22</f>
        <v>50632.8864932823</v>
      </c>
      <c r="E22">
        <v>50632.88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附表 2-1</vt:lpstr>
      <vt:lpstr>附表 2-2</vt:lpstr>
      <vt:lpstr>Sheet1</vt:lpstr>
      <vt:lpstr>附表 2-3（2021年）-万元</vt:lpstr>
      <vt:lpstr>附表1（2021-2022年）</vt:lpstr>
      <vt:lpstr>附表 2-3（2022年）-万元</vt:lpstr>
      <vt:lpstr>附表 2-3（2022年）-崖州区</vt:lpstr>
      <vt:lpstr>2022年海棠区</vt:lpstr>
      <vt:lpstr>Sheet2</vt:lpstr>
      <vt:lpstr>附表 2-3（2021年） (2)</vt:lpstr>
      <vt:lpstr>附表 3-2</vt:lpstr>
      <vt:lpstr>附表 2-3（2022年）-育才区</vt:lpstr>
      <vt:lpstr>2022年资金安排调整过程-天涯区</vt:lpstr>
      <vt:lpstr>附表 2-3（2021年）-崖州区)</vt:lpstr>
      <vt:lpstr>附表 2-3（2021年）-育才区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Administrator</cp:lastModifiedBy>
  <dcterms:created xsi:type="dcterms:W3CDTF">2021-02-05T06:45:00Z</dcterms:created>
  <cp:lastPrinted>2021-06-04T00:06:00Z</cp:lastPrinted>
  <dcterms:modified xsi:type="dcterms:W3CDTF">2024-08-30T03:25:27Z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D31B27A052E64205B5F9D2AE3C630FA0_13</vt:lpwstr>
  </property>
  <property fmtid="{D5CDD505-2E9C-101B-9397-08002B2CF9AE}" pid="3" name="KSOProductBuildVer">
    <vt:lpwstr>2052-10.8.0.5603</vt:lpwstr>
  </property>
</Properties>
</file>